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BuÇalışmaKitabı" autoCompressPictures="0" defaultThemeVersion="124226"/>
  <mc:AlternateContent xmlns:mc="http://schemas.openxmlformats.org/markup-compatibility/2006">
    <mc:Choice Requires="x15">
      <x15ac:absPath xmlns:x15ac="http://schemas.microsoft.com/office/spreadsheetml/2010/11/ac" url="C:\Users\½\Desktop\"/>
    </mc:Choice>
  </mc:AlternateContent>
  <xr:revisionPtr revIDLastSave="0" documentId="13_ncr:1_{D956A7A7-19FD-4EEA-A457-1E6A0D5E11E5}" xr6:coauthVersionLast="47" xr6:coauthVersionMax="47" xr10:uidLastSave="{00000000-0000-0000-0000-000000000000}"/>
  <workbookProtection workbookAlgorithmName="SHA-512" workbookHashValue="Du8buAmGxLLmuu+hn/Q+JRnIMxIB61XrbVVXoNNqOLVXn0yE7B//1gqgJKaUyy28+wH1C0aPpdJQqoCo9hQ/xw==" workbookSaltValue="AupmrZ3vLc6EAq9DTWRsIw==" workbookSpinCount="100000" lockStructure="1"/>
  <bookViews>
    <workbookView xWindow="1110" yWindow="150" windowWidth="18900" windowHeight="15135" xr2:uid="{00000000-000D-0000-FFFF-FFFF00000000}"/>
  </bookViews>
  <sheets>
    <sheet name="Özet Tablo" sheetId="130" r:id="rId1"/>
  </sheets>
  <definedNames>
    <definedName name="_xlnm._FilterDatabase" localSheetId="0" hidden="1">'Özet Tablo'!#REF!</definedName>
    <definedName name="Bartın_854">'Özet Tablo'!#REF!</definedName>
    <definedName name="Çanakkale_4857">'Özet Tablo'!#REF!</definedName>
    <definedName name="Çanakkale_854">'Özet Tablo'!#REF!</definedName>
    <definedName name="İST_K_4857">'Özet Tablo'!#REF!</definedName>
    <definedName name="İST_K_854">'Özet Tablo'!#REF!</definedName>
    <definedName name="İST_K_854_Deniz_Taksi">'Özet Tablo'!#REF!</definedName>
    <definedName name="İST_K_Güvenlik_Kapsam_Dışı">'Özet Tablo'!#REF!</definedName>
    <definedName name="İST_K_Kafe_Kapsam_Dışı">'Özet Tablo'!#REF!</definedName>
    <definedName name="İST_K_Temizlik_Kapsam_Dışı">'Özet Tablo'!#REF!</definedName>
    <definedName name="İST_Ö_4857">'Özet Tablo'!#REF!</definedName>
    <definedName name="İST_Ö_854">'Özet Tablo'!#REF!</definedName>
    <definedName name="İzmir_4857">'Özet Tablo'!#REF!</definedName>
    <definedName name="İzmir_854">'Özet Tablo'!#REF!</definedName>
    <definedName name="Zonguldak_854">'Özet Tablo'!#REF!</definedName>
  </definedNames>
  <calcPr calcId="191029" iterate="1"/>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K37" i="130" l="1"/>
  <c r="AK38" i="130"/>
  <c r="AK39" i="130"/>
  <c r="AK40" i="130"/>
  <c r="AK36" i="130"/>
  <c r="AK35" i="130"/>
  <c r="AS16" i="130"/>
  <c r="AS17" i="130"/>
  <c r="AS18" i="130"/>
  <c r="AS19" i="130"/>
  <c r="AS20" i="130"/>
  <c r="AS21" i="130"/>
  <c r="AS22" i="130"/>
  <c r="AS23" i="130"/>
  <c r="AS24" i="130"/>
  <c r="AS25" i="130"/>
  <c r="AS26" i="130"/>
  <c r="AS15" i="130"/>
  <c r="AQ16" i="130"/>
  <c r="AQ17" i="130"/>
  <c r="AQ18" i="130"/>
  <c r="AQ19" i="130"/>
  <c r="AQ20" i="130"/>
  <c r="AQ21" i="130"/>
  <c r="AQ22" i="130"/>
  <c r="AQ23" i="130"/>
  <c r="AQ24" i="130"/>
  <c r="AQ25" i="130"/>
  <c r="AQ26" i="130"/>
  <c r="AQ15" i="130"/>
  <c r="AO16" i="130"/>
  <c r="AO17" i="130"/>
  <c r="AO18" i="130"/>
  <c r="AO19" i="130"/>
  <c r="AO20" i="130"/>
  <c r="AO21" i="130"/>
  <c r="AO22" i="130"/>
  <c r="AO23" i="130"/>
  <c r="AO24" i="130"/>
  <c r="AO25" i="130"/>
  <c r="AO26" i="130"/>
  <c r="AO15" i="130"/>
  <c r="E16" i="130"/>
  <c r="AL44" i="130" s="1"/>
  <c r="E17" i="130"/>
  <c r="E18" i="130"/>
  <c r="E19" i="130"/>
  <c r="E20" i="130"/>
  <c r="E21" i="130"/>
  <c r="E22" i="130"/>
  <c r="E23" i="130"/>
  <c r="E24" i="130"/>
  <c r="E25" i="130"/>
  <c r="E26" i="130"/>
  <c r="E15" i="130"/>
  <c r="AM30" i="130"/>
  <c r="AM16" i="130"/>
  <c r="AM17" i="130"/>
  <c r="AM18" i="130"/>
  <c r="AM19" i="130"/>
  <c r="AM20" i="130"/>
  <c r="AM21" i="130"/>
  <c r="AM22" i="130"/>
  <c r="AM23" i="130"/>
  <c r="AM24" i="130"/>
  <c r="AM25" i="130"/>
  <c r="AM26" i="130"/>
  <c r="AM15" i="130"/>
  <c r="AJ17" i="130"/>
  <c r="AJ18" i="130"/>
  <c r="AJ19" i="130"/>
  <c r="AJ20" i="130"/>
  <c r="AJ21" i="130"/>
  <c r="AJ22" i="130"/>
  <c r="AJ23" i="130"/>
  <c r="AJ24" i="130"/>
  <c r="AJ25" i="130"/>
  <c r="AJ26" i="130"/>
  <c r="AG30" i="130"/>
  <c r="AK32" i="130"/>
  <c r="AK33" i="130"/>
  <c r="AK34" i="130"/>
  <c r="AK30" i="130"/>
  <c r="AK31" i="130"/>
  <c r="AI30" i="130"/>
  <c r="AI31" i="130"/>
  <c r="AI32" i="130"/>
  <c r="AI33" i="130"/>
  <c r="AI34" i="130"/>
  <c r="AI35" i="130"/>
  <c r="AI36" i="130"/>
  <c r="AI37" i="130"/>
  <c r="AI38" i="130"/>
  <c r="AI39" i="130"/>
  <c r="AI40" i="130"/>
  <c r="AI29" i="130"/>
  <c r="AK29" i="130"/>
  <c r="AN39" i="130"/>
  <c r="AN38" i="130"/>
  <c r="AN36" i="130"/>
  <c r="AN35" i="130"/>
  <c r="AN33" i="130"/>
  <c r="AN32" i="130"/>
  <c r="AN29" i="130"/>
  <c r="AN30" i="130"/>
  <c r="AI44" i="130"/>
  <c r="AI45" i="130"/>
  <c r="AI46" i="130"/>
  <c r="AI47" i="130"/>
  <c r="AI48" i="130"/>
  <c r="AI49" i="130"/>
  <c r="AI50" i="130"/>
  <c r="AI51" i="130"/>
  <c r="AI52" i="130"/>
  <c r="AI53" i="130"/>
  <c r="AI54" i="130"/>
  <c r="AI43" i="130"/>
  <c r="AL45" i="130" l="1"/>
  <c r="AM31" i="130"/>
  <c r="AL46" i="130"/>
  <c r="AM32" i="130"/>
  <c r="AL47" i="130"/>
  <c r="AM33" i="130"/>
  <c r="AL48" i="130"/>
  <c r="AM34" i="130"/>
  <c r="AL49" i="130"/>
  <c r="AM35" i="130"/>
  <c r="AM36" i="130"/>
  <c r="AL50" i="130"/>
  <c r="AL51" i="130"/>
  <c r="AM37" i="130"/>
  <c r="AL52" i="130"/>
  <c r="AM38" i="130"/>
  <c r="AL53" i="130"/>
  <c r="AM39" i="130"/>
  <c r="AL54" i="130"/>
  <c r="AM40" i="130"/>
  <c r="AM29" i="130"/>
  <c r="AL43" i="130"/>
  <c r="AJ16" i="130"/>
  <c r="AG29" i="130"/>
  <c r="AJ15" i="130"/>
  <c r="AJ44" i="130"/>
  <c r="AJ45" i="130"/>
  <c r="AJ46" i="130"/>
  <c r="AJ47" i="130"/>
  <c r="AJ48" i="130"/>
  <c r="AJ49" i="130"/>
  <c r="AJ50" i="130"/>
  <c r="AJ51" i="130"/>
  <c r="AJ52" i="130"/>
  <c r="AJ53" i="130"/>
  <c r="AJ54" i="130"/>
  <c r="AJ43" i="130"/>
  <c r="AF4" i="130" l="1"/>
  <c r="AJ4" i="130" s="1"/>
  <c r="AF5" i="130"/>
  <c r="AF6" i="130"/>
  <c r="AG6" i="130" s="1"/>
  <c r="AH6" i="130" s="1"/>
  <c r="AI6" i="130" s="1"/>
  <c r="AF7" i="130"/>
  <c r="AG7" i="130" s="1"/>
  <c r="AF8" i="130"/>
  <c r="AG8" i="130" s="1"/>
  <c r="AF9" i="130"/>
  <c r="AF10" i="130"/>
  <c r="AG10" i="130" s="1"/>
  <c r="AH10" i="130" s="1"/>
  <c r="AI10" i="130" s="1"/>
  <c r="AF11" i="130"/>
  <c r="AJ11" i="130" s="1"/>
  <c r="AK11" i="130" s="1"/>
  <c r="AF12" i="130"/>
  <c r="AF1" i="130"/>
  <c r="AJ1" i="130" s="1"/>
  <c r="AK1" i="130" s="1"/>
  <c r="AF2" i="130"/>
  <c r="AF3" i="130"/>
  <c r="AJ3" i="130" s="1"/>
  <c r="AR30" i="130"/>
  <c r="AR31" i="130"/>
  <c r="AR32" i="130"/>
  <c r="AR33" i="130"/>
  <c r="AR34" i="130"/>
  <c r="AR35" i="130"/>
  <c r="AR36" i="130"/>
  <c r="AR37" i="130"/>
  <c r="AR38" i="130"/>
  <c r="AR39" i="130"/>
  <c r="AR40" i="130"/>
  <c r="AR29" i="130"/>
  <c r="I27" i="130"/>
  <c r="AR72" i="130"/>
  <c r="AQ72" i="130"/>
  <c r="AW57" i="130"/>
  <c r="AV57" i="130"/>
  <c r="AE69" i="130"/>
  <c r="AI69" i="130" s="1"/>
  <c r="AE68" i="130"/>
  <c r="AI68" i="130" s="1"/>
  <c r="AE67" i="130"/>
  <c r="AF67" i="130" s="1"/>
  <c r="AE66" i="130"/>
  <c r="AJ66" i="130" s="1"/>
  <c r="AE65" i="130"/>
  <c r="BB65" i="130" s="1"/>
  <c r="AE64" i="130"/>
  <c r="AI64" i="130" s="1"/>
  <c r="AE63" i="130"/>
  <c r="AE62" i="130"/>
  <c r="AE61" i="130"/>
  <c r="AF61" i="130" s="1"/>
  <c r="AG61" i="130" s="1"/>
  <c r="AH61" i="130" s="1"/>
  <c r="AE60" i="130"/>
  <c r="AF60" i="130" s="1"/>
  <c r="AE59" i="130"/>
  <c r="AE58" i="130"/>
  <c r="AF58" i="130" s="1"/>
  <c r="AA13" i="130"/>
  <c r="AA34" i="130"/>
  <c r="AA33" i="130" s="1"/>
  <c r="AB26" i="130"/>
  <c r="AA25" i="130"/>
  <c r="AC25" i="130" s="1"/>
  <c r="AA24" i="130"/>
  <c r="AD24" i="130" s="1"/>
  <c r="AA23" i="130"/>
  <c r="AD23" i="130" s="1"/>
  <c r="AA22" i="130"/>
  <c r="AA19" i="130"/>
  <c r="AA17" i="130"/>
  <c r="AA18" i="130" s="1"/>
  <c r="AC18" i="130" s="1"/>
  <c r="AC7" i="130" s="1"/>
  <c r="AA16" i="130"/>
  <c r="AC16" i="130" s="1"/>
  <c r="AC5" i="130" s="1"/>
  <c r="AA4" i="130"/>
  <c r="AC4" i="130" s="1"/>
  <c r="AA3" i="130"/>
  <c r="AC3" i="130" s="1"/>
  <c r="AA2" i="130"/>
  <c r="AD2" i="130" s="1"/>
  <c r="U2" i="130"/>
  <c r="AX74" i="130"/>
  <c r="AX75" i="130"/>
  <c r="AX76" i="130"/>
  <c r="AX77" i="130"/>
  <c r="AX78" i="130"/>
  <c r="AX79" i="130"/>
  <c r="AX80" i="130"/>
  <c r="AX81" i="130"/>
  <c r="AX82" i="130"/>
  <c r="AX83" i="130"/>
  <c r="AX84" i="130"/>
  <c r="AX73" i="130"/>
  <c r="AF41" i="130"/>
  <c r="J27" i="130"/>
  <c r="H27" i="130"/>
  <c r="AP41" i="130"/>
  <c r="AS13" i="130"/>
  <c r="K27" i="130"/>
  <c r="AT59" i="130"/>
  <c r="AT60" i="130"/>
  <c r="AT61" i="130"/>
  <c r="AT62" i="130"/>
  <c r="AT63" i="130"/>
  <c r="AT64" i="130"/>
  <c r="AT65" i="130"/>
  <c r="AT66" i="130"/>
  <c r="AT67" i="130"/>
  <c r="AT68" i="130"/>
  <c r="AT69" i="130"/>
  <c r="AT58" i="130"/>
  <c r="AK59" i="130"/>
  <c r="AK60" i="130"/>
  <c r="AK61" i="130"/>
  <c r="AK62" i="130"/>
  <c r="AK63" i="130"/>
  <c r="AK64" i="130"/>
  <c r="AK65" i="130"/>
  <c r="AK66" i="130"/>
  <c r="AK67" i="130"/>
  <c r="AK68" i="130"/>
  <c r="AK69" i="130"/>
  <c r="AK58" i="130"/>
  <c r="AP59" i="130"/>
  <c r="AF15" i="130"/>
  <c r="AG15" i="130" s="1"/>
  <c r="AP62" i="130"/>
  <c r="AP61" i="130"/>
  <c r="AP60" i="130"/>
  <c r="AR59" i="130"/>
  <c r="AJ62" i="130" l="1"/>
  <c r="AL62" i="130" s="1"/>
  <c r="AM62" i="130" s="1"/>
  <c r="AI62" i="130"/>
  <c r="AF63" i="130"/>
  <c r="BB63" i="130"/>
  <c r="BB66" i="130"/>
  <c r="AA26" i="130"/>
  <c r="AC23" i="130"/>
  <c r="BB61" i="130"/>
  <c r="BB62" i="130"/>
  <c r="AD17" i="130"/>
  <c r="AD6" i="130" s="1"/>
  <c r="AC17" i="130"/>
  <c r="AC6" i="130" s="1"/>
  <c r="AD3" i="130"/>
  <c r="BB69" i="130"/>
  <c r="AD22" i="130"/>
  <c r="AC22" i="130"/>
  <c r="AC24" i="130"/>
  <c r="AD4" i="130"/>
  <c r="AC2" i="130"/>
  <c r="AC34" i="130"/>
  <c r="AD34" i="130"/>
  <c r="AJ65" i="130"/>
  <c r="AL65" i="130" s="1"/>
  <c r="AF69" i="130"/>
  <c r="AG69" i="130" s="1"/>
  <c r="AH69" i="130" s="1"/>
  <c r="AD18" i="130"/>
  <c r="AD7" i="130" s="1"/>
  <c r="AD16" i="130"/>
  <c r="AD5" i="130" s="1"/>
  <c r="AR60" i="130"/>
  <c r="AR61" i="130" s="1"/>
  <c r="AR62" i="130" s="1"/>
  <c r="AJ61" i="130"/>
  <c r="AL61" i="130" s="1"/>
  <c r="AJ69" i="130"/>
  <c r="AL69" i="130" s="1"/>
  <c r="AN69" i="130" s="1"/>
  <c r="AK41" i="130"/>
  <c r="AK42" i="130" s="1"/>
  <c r="AL66" i="130"/>
  <c r="AM66" i="130" s="1"/>
  <c r="AD25" i="130"/>
  <c r="AI58" i="130"/>
  <c r="BB58" i="130"/>
  <c r="AI66" i="130"/>
  <c r="AI65" i="130"/>
  <c r="AF65" i="130"/>
  <c r="AG65" i="130" s="1"/>
  <c r="AH65" i="130" s="1"/>
  <c r="AI61" i="130"/>
  <c r="AJ12" i="130"/>
  <c r="AK12" i="130" s="1"/>
  <c r="AL12" i="130" s="1"/>
  <c r="AG12" i="130"/>
  <c r="AH12" i="130" s="1"/>
  <c r="AI12" i="130" s="1"/>
  <c r="AJ8" i="130"/>
  <c r="AK8" i="130" s="1"/>
  <c r="AJ80" i="130" s="1"/>
  <c r="AJ83" i="130"/>
  <c r="AM44" i="130"/>
  <c r="AH15" i="130"/>
  <c r="AI15" i="130" s="1"/>
  <c r="AE16" i="130"/>
  <c r="AF64" i="130"/>
  <c r="AG64" i="130" s="1"/>
  <c r="AH64" i="130" s="1"/>
  <c r="BB60" i="130"/>
  <c r="BB64" i="130"/>
  <c r="BB68" i="130"/>
  <c r="AM27" i="130"/>
  <c r="AM28" i="130" s="1"/>
  <c r="AJ67" i="130"/>
  <c r="AL67" i="130" s="1"/>
  <c r="AF59" i="130"/>
  <c r="AG59" i="130" s="1"/>
  <c r="AH59" i="130" s="1"/>
  <c r="BB59" i="130"/>
  <c r="AJ59" i="130"/>
  <c r="AL59" i="130" s="1"/>
  <c r="AF68" i="130"/>
  <c r="AG68" i="130" s="1"/>
  <c r="AH68" i="130" s="1"/>
  <c r="AI60" i="130"/>
  <c r="AI59" i="130"/>
  <c r="BB67" i="130"/>
  <c r="AE70" i="130"/>
  <c r="AE71" i="130" s="1"/>
  <c r="AJ64" i="130"/>
  <c r="AL64" i="130" s="1"/>
  <c r="AI67" i="130"/>
  <c r="AJ2" i="130"/>
  <c r="AK2" i="130" s="1"/>
  <c r="AJ74" i="130" s="1"/>
  <c r="AG2" i="130"/>
  <c r="AJ10" i="130"/>
  <c r="AK10" i="130" s="1"/>
  <c r="AL10" i="130" s="1"/>
  <c r="AN10" i="130" s="1"/>
  <c r="AG4" i="130"/>
  <c r="AF76" i="130" s="1"/>
  <c r="AJ6" i="130"/>
  <c r="AK6" i="130" s="1"/>
  <c r="AL6" i="130" s="1"/>
  <c r="AG11" i="130"/>
  <c r="AL41" i="130"/>
  <c r="AG5" i="130"/>
  <c r="AH5" i="130" s="1"/>
  <c r="AI5" i="130" s="1"/>
  <c r="AJ5" i="130"/>
  <c r="AK5" i="130" s="1"/>
  <c r="AJ77" i="130" s="1"/>
  <c r="AG9" i="130"/>
  <c r="AH9" i="130" s="1"/>
  <c r="AI9" i="130" s="1"/>
  <c r="AJ9" i="130"/>
  <c r="AI41" i="130"/>
  <c r="AI42" i="130" s="1"/>
  <c r="AL11" i="130"/>
  <c r="AN11" i="130" s="1"/>
  <c r="AK3" i="130"/>
  <c r="AJ75" i="130" s="1"/>
  <c r="AF82" i="130"/>
  <c r="AJ7" i="130"/>
  <c r="AK7" i="130" s="1"/>
  <c r="AL7" i="130" s="1"/>
  <c r="AG3" i="130"/>
  <c r="AG1" i="130"/>
  <c r="AF73" i="130" s="1"/>
  <c r="G27" i="130"/>
  <c r="G28" i="130" s="1"/>
  <c r="AR41" i="130"/>
  <c r="AR42" i="130" s="1"/>
  <c r="AC33" i="130"/>
  <c r="AD33" i="130"/>
  <c r="AK70" i="130"/>
  <c r="AK71" i="130" s="1"/>
  <c r="AT70" i="130"/>
  <c r="AT71" i="130" s="1"/>
  <c r="AL1" i="130"/>
  <c r="AK4" i="130"/>
  <c r="AJ76" i="130" s="1"/>
  <c r="AG60" i="130"/>
  <c r="AH60" i="130" s="1"/>
  <c r="AF13" i="130"/>
  <c r="AF14" i="130" s="1"/>
  <c r="AH8" i="130"/>
  <c r="AI8" i="130" s="1"/>
  <c r="AJ58" i="130"/>
  <c r="AG58" i="130"/>
  <c r="AF66" i="130"/>
  <c r="AF62" i="130"/>
  <c r="AG67" i="130"/>
  <c r="AH67" i="130" s="1"/>
  <c r="AI63" i="130"/>
  <c r="AH7" i="130"/>
  <c r="AI7" i="130" s="1"/>
  <c r="AJ68" i="130"/>
  <c r="AL68" i="130" s="1"/>
  <c r="AJ60" i="130"/>
  <c r="AL60" i="130" s="1"/>
  <c r="AJ63" i="130"/>
  <c r="AL63" i="130" s="1"/>
  <c r="AF78" i="130" l="1"/>
  <c r="AG63" i="130"/>
  <c r="AH63" i="130" s="1"/>
  <c r="AD26" i="130"/>
  <c r="AD27" i="130" s="1"/>
  <c r="AC26" i="130"/>
  <c r="AC27" i="130" s="1"/>
  <c r="AD19" i="130"/>
  <c r="AD20" i="130" s="1"/>
  <c r="AC19" i="130"/>
  <c r="AC20" i="130" s="1"/>
  <c r="AN62" i="130"/>
  <c r="AS62" i="130" s="1"/>
  <c r="AU62" i="130" s="1"/>
  <c r="AF84" i="130"/>
  <c r="AM65" i="130"/>
  <c r="AN65" i="130"/>
  <c r="Z8" i="130"/>
  <c r="Y8" i="130" s="1"/>
  <c r="AJ84" i="130"/>
  <c r="AL8" i="130"/>
  <c r="AN8" i="130" s="1"/>
  <c r="AF83" i="130"/>
  <c r="AN66" i="130"/>
  <c r="AS66" i="130" s="1"/>
  <c r="AU66" i="130" s="1"/>
  <c r="AM61" i="130"/>
  <c r="AN61" i="130"/>
  <c r="AM69" i="130"/>
  <c r="AS69" i="130" s="1"/>
  <c r="AU69" i="130" s="1"/>
  <c r="AJ78" i="130"/>
  <c r="AI70" i="130"/>
  <c r="AI71" i="130" s="1"/>
  <c r="AF79" i="130"/>
  <c r="AF80" i="130"/>
  <c r="AN59" i="130"/>
  <c r="AM59" i="130"/>
  <c r="AH11" i="130"/>
  <c r="AI11" i="130" s="1"/>
  <c r="AH2" i="130"/>
  <c r="AI2" i="130" s="1"/>
  <c r="AF74" i="130"/>
  <c r="AM11" i="130"/>
  <c r="AO11" i="130" s="1"/>
  <c r="AH3" i="130"/>
  <c r="AI3" i="130" s="1"/>
  <c r="AF75" i="130"/>
  <c r="AH4" i="130"/>
  <c r="AI4" i="130" s="1"/>
  <c r="AG13" i="130"/>
  <c r="AG14" i="130" s="1"/>
  <c r="AF16" i="130"/>
  <c r="AG16" i="130" s="1"/>
  <c r="BB70" i="130"/>
  <c r="BB71" i="130" s="1"/>
  <c r="AM64" i="130"/>
  <c r="AN64" i="130"/>
  <c r="AM67" i="130"/>
  <c r="AN67" i="130"/>
  <c r="AJ82" i="130"/>
  <c r="AM10" i="130"/>
  <c r="AO10" i="130" s="1"/>
  <c r="AP10" i="130" s="1"/>
  <c r="AL5" i="130"/>
  <c r="AN5" i="130" s="1"/>
  <c r="AJ13" i="130"/>
  <c r="AJ14" i="130" s="1"/>
  <c r="AH1" i="130"/>
  <c r="AI1" i="130" s="1"/>
  <c r="AM12" i="130"/>
  <c r="AN12" i="130"/>
  <c r="AK9" i="130"/>
  <c r="AJ81" i="130" s="1"/>
  <c r="AL3" i="130"/>
  <c r="AN60" i="130"/>
  <c r="AM60" i="130"/>
  <c r="AJ70" i="130"/>
  <c r="AJ71" i="130" s="1"/>
  <c r="AL58" i="130"/>
  <c r="AL4" i="130"/>
  <c r="AJ79" i="130"/>
  <c r="AN6" i="130"/>
  <c r="AM6" i="130"/>
  <c r="AN63" i="130"/>
  <c r="AM63" i="130"/>
  <c r="AH58" i="130"/>
  <c r="AM68" i="130"/>
  <c r="AN68" i="130"/>
  <c r="AG62" i="130"/>
  <c r="AH62" i="130" s="1"/>
  <c r="AF77" i="130"/>
  <c r="AM7" i="130"/>
  <c r="AN7" i="130"/>
  <c r="AG66" i="130"/>
  <c r="AH66" i="130" s="1"/>
  <c r="AF81" i="130"/>
  <c r="AN1" i="130"/>
  <c r="AM1" i="130"/>
  <c r="AL2" i="130"/>
  <c r="AF70" i="130"/>
  <c r="AF71" i="130" s="1"/>
  <c r="AM43" i="130"/>
  <c r="AO44" i="130"/>
  <c r="AO43" i="130"/>
  <c r="BC62" i="130" l="1"/>
  <c r="BC65" i="130"/>
  <c r="BC66" i="130"/>
  <c r="AM8" i="130"/>
  <c r="AO8" i="130" s="1"/>
  <c r="AP8" i="130" s="1"/>
  <c r="BC69" i="130"/>
  <c r="BC59" i="130"/>
  <c r="AS65" i="130"/>
  <c r="AU65" i="130" s="1"/>
  <c r="AS59" i="130"/>
  <c r="AU59" i="130" s="1"/>
  <c r="AS64" i="130"/>
  <c r="AU64" i="130" s="1"/>
  <c r="BC61" i="130"/>
  <c r="AS61" i="130"/>
  <c r="AU61" i="130" s="1"/>
  <c r="AH16" i="130"/>
  <c r="BC64" i="130"/>
  <c r="AQ10" i="130"/>
  <c r="AH13" i="130"/>
  <c r="AH14" i="130" s="1"/>
  <c r="AS60" i="130"/>
  <c r="AU60" i="130" s="1"/>
  <c r="BC67" i="130"/>
  <c r="AE17" i="130"/>
  <c r="AM5" i="130"/>
  <c r="AO5" i="130" s="1"/>
  <c r="AP5" i="130" s="1"/>
  <c r="AS67" i="130"/>
  <c r="AU67" i="130" s="1"/>
  <c r="AG70" i="130"/>
  <c r="AG71" i="130" s="1"/>
  <c r="BC60" i="130"/>
  <c r="AS63" i="130"/>
  <c r="AU63" i="130" s="1"/>
  <c r="AI13" i="130"/>
  <c r="AI14" i="130" s="1"/>
  <c r="AF85" i="130"/>
  <c r="AF86" i="130" s="1"/>
  <c r="AK13" i="130"/>
  <c r="AK14" i="130" s="1"/>
  <c r="AM3" i="130"/>
  <c r="AN3" i="130"/>
  <c r="AO12" i="130"/>
  <c r="AO6" i="130"/>
  <c r="AP6" i="130" s="1"/>
  <c r="AL9" i="130"/>
  <c r="AL13" i="130" s="1"/>
  <c r="AL14" i="130" s="1"/>
  <c r="AN4" i="130"/>
  <c r="AM4" i="130"/>
  <c r="AN58" i="130"/>
  <c r="AN70" i="130" s="1"/>
  <c r="AN71" i="130" s="1"/>
  <c r="AL70" i="130"/>
  <c r="AL71" i="130" s="1"/>
  <c r="AM58" i="130"/>
  <c r="AO7" i="130"/>
  <c r="AN2" i="130"/>
  <c r="AM2" i="130"/>
  <c r="AS68" i="130"/>
  <c r="AU68" i="130" s="1"/>
  <c r="BC68" i="130"/>
  <c r="AO1" i="130"/>
  <c r="AP11" i="130"/>
  <c r="BC63" i="130"/>
  <c r="AH70" i="130"/>
  <c r="AH71" i="130" s="1"/>
  <c r="AI16" i="130" l="1"/>
  <c r="AF17" i="130"/>
  <c r="AG17" i="130" s="1"/>
  <c r="BC58" i="130"/>
  <c r="BC70" i="130" s="1"/>
  <c r="BC71" i="130" s="1"/>
  <c r="AO3" i="130"/>
  <c r="AP3" i="130" s="1"/>
  <c r="AP12" i="130"/>
  <c r="AQ11" i="130"/>
  <c r="AN9" i="130"/>
  <c r="AN13" i="130" s="1"/>
  <c r="AN14" i="130" s="1"/>
  <c r="AM9" i="130"/>
  <c r="AM13" i="130" s="1"/>
  <c r="AM14" i="130" s="1"/>
  <c r="AS58" i="130"/>
  <c r="AM70" i="130"/>
  <c r="AM71" i="130" s="1"/>
  <c r="AQ6" i="130"/>
  <c r="AP1" i="130"/>
  <c r="AQ8" i="130"/>
  <c r="AO2" i="130"/>
  <c r="AP7" i="130"/>
  <c r="AQ5" i="130"/>
  <c r="AO4" i="130"/>
  <c r="AH17" i="130" l="1"/>
  <c r="AE18" i="130"/>
  <c r="AF18" i="130" s="1"/>
  <c r="AG18" i="130" s="1"/>
  <c r="AQ3" i="130"/>
  <c r="AQ7" i="130"/>
  <c r="AO9" i="130"/>
  <c r="AO13" i="130" s="1"/>
  <c r="AO14" i="130" s="1"/>
  <c r="AQ12" i="130"/>
  <c r="AQ1" i="130"/>
  <c r="AS70" i="130"/>
  <c r="AS71" i="130" s="1"/>
  <c r="AU58" i="130"/>
  <c r="AP2" i="130"/>
  <c r="AO74" i="130" s="1"/>
  <c r="AP4" i="130"/>
  <c r="AI17" i="130" l="1"/>
  <c r="AH18" i="130"/>
  <c r="AE19" i="130"/>
  <c r="AF19" i="130" s="1"/>
  <c r="AG19" i="130" s="1"/>
  <c r="AP9" i="130"/>
  <c r="AQ9" i="130" s="1"/>
  <c r="AQ4" i="130"/>
  <c r="AQ2" i="130"/>
  <c r="AV61" i="130"/>
  <c r="AW61" i="130" s="1"/>
  <c r="AV58" i="130"/>
  <c r="AW58" i="130" s="1"/>
  <c r="AX58" i="130" s="1"/>
  <c r="AY58" i="130" s="1"/>
  <c r="BA58" i="130" s="1"/>
  <c r="AV63" i="130"/>
  <c r="AW63" i="130" s="1"/>
  <c r="AV60" i="130"/>
  <c r="AW60" i="130" s="1"/>
  <c r="AV68" i="130"/>
  <c r="AW68" i="130" s="1"/>
  <c r="AV65" i="130"/>
  <c r="AW65" i="130" s="1"/>
  <c r="AU70" i="130"/>
  <c r="AU71" i="130" s="1"/>
  <c r="AV59" i="130"/>
  <c r="AW59" i="130" s="1"/>
  <c r="AV64" i="130"/>
  <c r="AW64" i="130" s="1"/>
  <c r="AV62" i="130"/>
  <c r="AW62" i="130" s="1"/>
  <c r="AV67" i="130"/>
  <c r="AW67" i="130" s="1"/>
  <c r="AV66" i="130"/>
  <c r="AW66" i="130" s="1"/>
  <c r="AV69" i="130"/>
  <c r="AW69" i="130" s="1"/>
  <c r="AX68" i="130" l="1"/>
  <c r="AY68" i="130" s="1"/>
  <c r="AX61" i="130"/>
  <c r="AY61" i="130" s="1"/>
  <c r="AE20" i="130"/>
  <c r="AF20" i="130" s="1"/>
  <c r="AG20" i="130" s="1"/>
  <c r="AH19" i="130"/>
  <c r="AI19" i="130" s="1"/>
  <c r="AX65" i="130"/>
  <c r="AY65" i="130" s="1"/>
  <c r="BA65" i="130" s="1"/>
  <c r="AX62" i="130"/>
  <c r="AY62" i="130" s="1"/>
  <c r="BA62" i="130" s="1"/>
  <c r="AX69" i="130"/>
  <c r="AY69" i="130" s="1"/>
  <c r="BA69" i="130" s="1"/>
  <c r="AX64" i="130"/>
  <c r="AY64" i="130" s="1"/>
  <c r="BA64" i="130" s="1"/>
  <c r="AI18" i="130"/>
  <c r="AZ58" i="130"/>
  <c r="AX67" i="130"/>
  <c r="AY67" i="130" s="1"/>
  <c r="AZ67" i="130" s="1"/>
  <c r="AP13" i="130"/>
  <c r="AP14" i="130" s="1"/>
  <c r="AX66" i="130"/>
  <c r="AY66" i="130" s="1"/>
  <c r="AX59" i="130"/>
  <c r="AY59" i="130" s="1"/>
  <c r="AX60" i="130"/>
  <c r="AY60" i="130" s="1"/>
  <c r="AQ13" i="130"/>
  <c r="AQ14" i="130" s="1"/>
  <c r="AX63" i="130"/>
  <c r="AY63" i="130" s="1"/>
  <c r="AZ68" i="130" l="1"/>
  <c r="BA68" i="130"/>
  <c r="BA61" i="130"/>
  <c r="AZ61" i="130"/>
  <c r="AZ64" i="130"/>
  <c r="AZ65" i="130"/>
  <c r="AZ69" i="130"/>
  <c r="AZ62" i="130"/>
  <c r="AH20" i="130"/>
  <c r="BA67" i="130"/>
  <c r="BA63" i="130"/>
  <c r="AZ63" i="130"/>
  <c r="BA60" i="130"/>
  <c r="AZ60" i="130"/>
  <c r="BA59" i="130"/>
  <c r="AZ59" i="130"/>
  <c r="AE21" i="130"/>
  <c r="BA66" i="130"/>
  <c r="AZ66" i="130"/>
  <c r="AZ70" i="130" l="1"/>
  <c r="AZ71" i="130" s="1"/>
  <c r="AF21" i="130"/>
  <c r="AG21" i="130" s="1"/>
  <c r="AI20" i="130"/>
  <c r="AE22" i="130" l="1"/>
  <c r="AH21" i="130"/>
  <c r="AF22" i="130" l="1"/>
  <c r="AG22" i="130" s="1"/>
  <c r="AI21" i="130"/>
  <c r="AH22" i="130" l="1"/>
  <c r="AE23" i="130"/>
  <c r="AF23" i="130" l="1"/>
  <c r="AG23" i="130" s="1"/>
  <c r="AI22" i="130"/>
  <c r="AH23" i="130" l="1"/>
  <c r="AE24" i="130"/>
  <c r="AI23" i="130" l="1"/>
  <c r="AF24" i="130"/>
  <c r="AG24" i="130" s="1"/>
  <c r="AE25" i="130" l="1"/>
  <c r="AH24" i="130"/>
  <c r="AI24" i="130" l="1"/>
  <c r="AF25" i="130"/>
  <c r="AG25" i="130" s="1"/>
  <c r="AE26" i="130" l="1"/>
  <c r="AH25" i="130"/>
  <c r="AF26" i="130" l="1"/>
  <c r="AG26" i="130" s="1"/>
  <c r="AI25" i="130"/>
  <c r="AG27" i="130" l="1"/>
  <c r="AH26" i="130"/>
  <c r="AH27" i="130" s="1"/>
  <c r="AI26" i="130" l="1"/>
  <c r="AI27" i="130" s="1"/>
  <c r="AJ55" i="130"/>
  <c r="AJ56" i="130" s="1"/>
  <c r="Z11" i="130" l="1"/>
  <c r="Y11" i="130" s="1"/>
  <c r="AJ73" i="130"/>
  <c r="AJ85" i="130" s="1"/>
  <c r="AJ86" i="130" s="1"/>
  <c r="AO73" i="130"/>
  <c r="AI55" i="130"/>
  <c r="AI56" i="130" s="1"/>
  <c r="AG35" i="130" l="1"/>
  <c r="AM49" i="130"/>
  <c r="AO79" i="130" s="1"/>
  <c r="AM51" i="130"/>
  <c r="AO81" i="130" s="1"/>
  <c r="AG37" i="130"/>
  <c r="AG33" i="130"/>
  <c r="AG34" i="130"/>
  <c r="AM48" i="130"/>
  <c r="AO78" i="130" s="1"/>
  <c r="AG36" i="130"/>
  <c r="AM50" i="130"/>
  <c r="AO80" i="130" s="1"/>
  <c r="AG31" i="130"/>
  <c r="AG32" i="130"/>
  <c r="AM46" i="130"/>
  <c r="AO76" i="130" s="1"/>
  <c r="AM47" i="130"/>
  <c r="AO77" i="130" s="1"/>
  <c r="E27" i="130" l="1"/>
  <c r="E28" i="130" s="1"/>
  <c r="AO51" i="130"/>
  <c r="C27" i="130"/>
  <c r="C28" i="130" s="1"/>
  <c r="AG38" i="130"/>
  <c r="AM53" i="130"/>
  <c r="AO83" i="130" s="1"/>
  <c r="AG39" i="130"/>
  <c r="AM54" i="130"/>
  <c r="AO84" i="130" s="1"/>
  <c r="AG40" i="130"/>
  <c r="AN34" i="130"/>
  <c r="AO47" i="130"/>
  <c r="AN37" i="130"/>
  <c r="AO49" i="130"/>
  <c r="AO50" i="130"/>
  <c r="AO48" i="130"/>
  <c r="AO45" i="130"/>
  <c r="AN31" i="130"/>
  <c r="AM45" i="130"/>
  <c r="AO46" i="130"/>
  <c r="AO54" i="130" l="1"/>
  <c r="AG41" i="130"/>
  <c r="AG42" i="130" s="1"/>
  <c r="AS27" i="130"/>
  <c r="AS28" i="130" s="1"/>
  <c r="AJ27" i="130"/>
  <c r="AJ28" i="130" s="1"/>
  <c r="AQ27" i="130"/>
  <c r="AQ28" i="130" s="1"/>
  <c r="AO53" i="130"/>
  <c r="AM52" i="130"/>
  <c r="AL55" i="130"/>
  <c r="AL56" i="130" s="1"/>
  <c r="AN40" i="130"/>
  <c r="AN41" i="130" s="1"/>
  <c r="AN42" i="130" s="1"/>
  <c r="AM41" i="130"/>
  <c r="AM42" i="130" s="1"/>
  <c r="AO27" i="130"/>
  <c r="AO28" i="130" s="1"/>
  <c r="AO52" i="130"/>
  <c r="AO75" i="130"/>
  <c r="Z12" i="130" l="1"/>
  <c r="Y12" i="130" s="1"/>
  <c r="AO55" i="130"/>
  <c r="AO56" i="130" s="1"/>
  <c r="AO82" i="130"/>
  <c r="AO85" i="130" s="1"/>
  <c r="AO86" i="130" s="1"/>
  <c r="AM55" i="130"/>
  <c r="AM56" i="130" s="1"/>
  <c r="Y1" i="130"/>
  <c r="Z1" i="130"/>
  <c r="AE1" i="130"/>
  <c r="AR1" i="130"/>
  <c r="AT1" i="130"/>
  <c r="AU1" i="130"/>
  <c r="AV1" i="130"/>
  <c r="AW1" i="130"/>
  <c r="AX1" i="130"/>
  <c r="Y2" i="130"/>
  <c r="Z2" i="130"/>
  <c r="AE2" i="130"/>
  <c r="AR2" i="130"/>
  <c r="AT2" i="130"/>
  <c r="AU2" i="130"/>
  <c r="AV2" i="130"/>
  <c r="AW2" i="130"/>
  <c r="AX2" i="130"/>
  <c r="Y3" i="130"/>
  <c r="Z3" i="130"/>
  <c r="AE3" i="130"/>
  <c r="AR3" i="130"/>
  <c r="AT3" i="130"/>
  <c r="AU3" i="130"/>
  <c r="AV3" i="130"/>
  <c r="AW3" i="130"/>
  <c r="AX3" i="130"/>
  <c r="Y4" i="130"/>
  <c r="Z4" i="130"/>
  <c r="AE4" i="130"/>
  <c r="AR4" i="130"/>
  <c r="AT4" i="130"/>
  <c r="AU4" i="130"/>
  <c r="AV4" i="130"/>
  <c r="AW4" i="130"/>
  <c r="AX4" i="130"/>
  <c r="Y5" i="130"/>
  <c r="Z5" i="130"/>
  <c r="AE5" i="130"/>
  <c r="AR5" i="130"/>
  <c r="AT5" i="130"/>
  <c r="AU5" i="130"/>
  <c r="AV5" i="130"/>
  <c r="AW5" i="130"/>
  <c r="AX5" i="130"/>
  <c r="Y6" i="130"/>
  <c r="Z6" i="130"/>
  <c r="AE6" i="130"/>
  <c r="AR6" i="130"/>
  <c r="AT6" i="130"/>
  <c r="AU6" i="130"/>
  <c r="AV6" i="130"/>
  <c r="AW6" i="130"/>
  <c r="AX6" i="130"/>
  <c r="Y7" i="130"/>
  <c r="Z7" i="130"/>
  <c r="AE7" i="130"/>
  <c r="AR7" i="130"/>
  <c r="AT7" i="130"/>
  <c r="AU7" i="130"/>
  <c r="AV7" i="130"/>
  <c r="AW7" i="130"/>
  <c r="AX7" i="130"/>
  <c r="AE8" i="130"/>
  <c r="AR8" i="130"/>
  <c r="AT8" i="130"/>
  <c r="AU8" i="130"/>
  <c r="AV8" i="130"/>
  <c r="AW8" i="130"/>
  <c r="AX8" i="130"/>
  <c r="Y9" i="130"/>
  <c r="Z9" i="130"/>
  <c r="AE9" i="130"/>
  <c r="AR9" i="130"/>
  <c r="AT9" i="130"/>
  <c r="AU9" i="130"/>
  <c r="AV9" i="130"/>
  <c r="AW9" i="130"/>
  <c r="AX9" i="130"/>
  <c r="Y10" i="130"/>
  <c r="Z10" i="130"/>
  <c r="AE10" i="130"/>
  <c r="AR10" i="130"/>
  <c r="AT10" i="130"/>
  <c r="AU10" i="130"/>
  <c r="AV10" i="130"/>
  <c r="AW10" i="130"/>
  <c r="AX10" i="130"/>
  <c r="AE11" i="130"/>
  <c r="AR11" i="130"/>
  <c r="AT11" i="130"/>
  <c r="AU11" i="130"/>
  <c r="AV11" i="130"/>
  <c r="AW11" i="130"/>
  <c r="AX11" i="130"/>
  <c r="AE12" i="130"/>
  <c r="AR12" i="130"/>
  <c r="AT12" i="130"/>
  <c r="AU12" i="130"/>
  <c r="AV12" i="130"/>
  <c r="AW12" i="130"/>
  <c r="AX12" i="130"/>
  <c r="Y13" i="130"/>
  <c r="Z13" i="130"/>
  <c r="AE13" i="130"/>
  <c r="AR13" i="130"/>
  <c r="AT13" i="130"/>
  <c r="AU13" i="130"/>
  <c r="AV13" i="130"/>
  <c r="AW13" i="130"/>
  <c r="AX13" i="130"/>
  <c r="Y14" i="130"/>
  <c r="Z14" i="130"/>
  <c r="AE14" i="130"/>
  <c r="AR14" i="130"/>
  <c r="AT14" i="130"/>
  <c r="AU14" i="130"/>
  <c r="AV14" i="130"/>
  <c r="AW14" i="130"/>
  <c r="AX14" i="130"/>
  <c r="A15" i="130"/>
  <c r="D15" i="130"/>
  <c r="F15" i="130"/>
  <c r="N15" i="130"/>
  <c r="O15" i="130"/>
  <c r="P15" i="130"/>
  <c r="Y15" i="130"/>
  <c r="Z15" i="130"/>
  <c r="AK15" i="130"/>
  <c r="AN15" i="130"/>
  <c r="AP15" i="130"/>
  <c r="AR15" i="130"/>
  <c r="A16" i="130"/>
  <c r="D16" i="130"/>
  <c r="F16" i="130"/>
  <c r="N16" i="130"/>
  <c r="O16" i="130"/>
  <c r="P16" i="130"/>
  <c r="Y16" i="130"/>
  <c r="Z16" i="130"/>
  <c r="AK16" i="130"/>
  <c r="AN16" i="130"/>
  <c r="AP16" i="130"/>
  <c r="AR16" i="130"/>
  <c r="A17" i="130"/>
  <c r="D17" i="130"/>
  <c r="F17" i="130"/>
  <c r="N17" i="130"/>
  <c r="O17" i="130"/>
  <c r="P17" i="130"/>
  <c r="Y17" i="130"/>
  <c r="Z17" i="130"/>
  <c r="AK17" i="130"/>
  <c r="AN17" i="130"/>
  <c r="AP17" i="130"/>
  <c r="AR17" i="130"/>
  <c r="A18" i="130"/>
  <c r="D18" i="130"/>
  <c r="F18" i="130"/>
  <c r="N18" i="130"/>
  <c r="O18" i="130"/>
  <c r="P18" i="130"/>
  <c r="Y18" i="130"/>
  <c r="Z18" i="130"/>
  <c r="AK18" i="130"/>
  <c r="AN18" i="130"/>
  <c r="AP18" i="130"/>
  <c r="AR18" i="130"/>
  <c r="A19" i="130"/>
  <c r="D19" i="130"/>
  <c r="F19" i="130"/>
  <c r="N19" i="130"/>
  <c r="O19" i="130"/>
  <c r="P19" i="130"/>
  <c r="Y19" i="130"/>
  <c r="Z19" i="130"/>
  <c r="AK19" i="130"/>
  <c r="AN19" i="130"/>
  <c r="AP19" i="130"/>
  <c r="AR19" i="130"/>
  <c r="A20" i="130"/>
  <c r="D20" i="130"/>
  <c r="F20" i="130"/>
  <c r="N20" i="130"/>
  <c r="O20" i="130"/>
  <c r="P20" i="130"/>
  <c r="Y20" i="130"/>
  <c r="Z20" i="130"/>
  <c r="AK20" i="130"/>
  <c r="AN20" i="130"/>
  <c r="AP20" i="130"/>
  <c r="AR20" i="130"/>
  <c r="A21" i="130"/>
  <c r="D21" i="130"/>
  <c r="F21" i="130"/>
  <c r="N21" i="130"/>
  <c r="O21" i="130"/>
  <c r="P21" i="130"/>
  <c r="AK21" i="130"/>
  <c r="AN21" i="130"/>
  <c r="AP21" i="130"/>
  <c r="AR21" i="130"/>
  <c r="A22" i="130"/>
  <c r="D22" i="130"/>
  <c r="F22" i="130"/>
  <c r="N22" i="130"/>
  <c r="O22" i="130"/>
  <c r="P22" i="130"/>
  <c r="AK22" i="130"/>
  <c r="AN22" i="130"/>
  <c r="AP22" i="130"/>
  <c r="AR22" i="130"/>
  <c r="A23" i="130"/>
  <c r="D23" i="130"/>
  <c r="F23" i="130"/>
  <c r="N23" i="130"/>
  <c r="O23" i="130"/>
  <c r="P23" i="130"/>
  <c r="AK23" i="130"/>
  <c r="AN23" i="130"/>
  <c r="AP23" i="130"/>
  <c r="AR23" i="130"/>
  <c r="A24" i="130"/>
  <c r="D24" i="130"/>
  <c r="F24" i="130"/>
  <c r="N24" i="130"/>
  <c r="O24" i="130"/>
  <c r="P24" i="130"/>
  <c r="AK24" i="130"/>
  <c r="AN24" i="130"/>
  <c r="AP24" i="130"/>
  <c r="AR24" i="130"/>
  <c r="A25" i="130"/>
  <c r="D25" i="130"/>
  <c r="F25" i="130"/>
  <c r="N25" i="130"/>
  <c r="O25" i="130"/>
  <c r="P25" i="130"/>
  <c r="AK25" i="130"/>
  <c r="AN25" i="130"/>
  <c r="AP25" i="130"/>
  <c r="AR25" i="130"/>
  <c r="A26" i="130"/>
  <c r="D26" i="130"/>
  <c r="F26" i="130"/>
  <c r="N26" i="130"/>
  <c r="O26" i="130"/>
  <c r="P26" i="130"/>
  <c r="AK26" i="130"/>
  <c r="AN26" i="130"/>
  <c r="AP26" i="130"/>
  <c r="AR26" i="130"/>
  <c r="D27" i="130"/>
  <c r="F27" i="130"/>
  <c r="N27" i="130"/>
  <c r="O27" i="130"/>
  <c r="P27" i="130"/>
  <c r="AK27" i="130"/>
  <c r="AN27" i="130"/>
  <c r="AP27" i="130"/>
  <c r="AR27" i="130"/>
  <c r="A28" i="130"/>
  <c r="D28" i="130"/>
  <c r="F28" i="130"/>
  <c r="N28" i="130"/>
  <c r="O28" i="130"/>
  <c r="P28" i="130"/>
  <c r="AK28" i="130"/>
  <c r="AN28" i="130"/>
  <c r="AP28" i="130"/>
  <c r="AR28" i="130"/>
  <c r="AE29" i="130"/>
  <c r="AH29" i="130"/>
  <c r="AJ29" i="130"/>
  <c r="AO29" i="130"/>
  <c r="AQ29" i="130"/>
  <c r="AE30" i="130"/>
  <c r="AH30" i="130"/>
  <c r="AJ30" i="130"/>
  <c r="AO30" i="130"/>
  <c r="AQ30" i="130"/>
  <c r="AE31" i="130"/>
  <c r="AH31" i="130"/>
  <c r="AJ31" i="130"/>
  <c r="AO31" i="130"/>
  <c r="AQ31" i="130"/>
  <c r="AE32" i="130"/>
  <c r="AH32" i="130"/>
  <c r="AJ32" i="130"/>
  <c r="AO32" i="130"/>
  <c r="AQ32" i="130"/>
  <c r="AE33" i="130"/>
  <c r="AH33" i="130"/>
  <c r="AJ33" i="130"/>
  <c r="AO33" i="130"/>
  <c r="AQ33" i="130"/>
  <c r="AE34" i="130"/>
  <c r="AH34" i="130"/>
  <c r="AJ34" i="130"/>
  <c r="AO34" i="130"/>
  <c r="AQ34" i="130"/>
  <c r="AE35" i="130"/>
  <c r="AH35" i="130"/>
  <c r="AJ35" i="130"/>
  <c r="AO35" i="130"/>
  <c r="AQ35" i="130"/>
  <c r="AE36" i="130"/>
  <c r="AH36" i="130"/>
  <c r="AJ36" i="130"/>
  <c r="AO36" i="130"/>
  <c r="AQ36" i="130"/>
  <c r="AE37" i="130"/>
  <c r="AH37" i="130"/>
  <c r="AJ37" i="130"/>
  <c r="AO37" i="130"/>
  <c r="AQ37" i="130"/>
  <c r="AE38" i="130"/>
  <c r="AH38" i="130"/>
  <c r="AJ38" i="130"/>
  <c r="AO38" i="130"/>
  <c r="AQ38" i="130"/>
  <c r="AE39" i="130"/>
  <c r="AH39" i="130"/>
  <c r="AJ39" i="130"/>
  <c r="AO39" i="130"/>
  <c r="AQ39" i="130"/>
  <c r="AE40" i="130"/>
  <c r="AH40" i="130"/>
  <c r="AJ40" i="130"/>
  <c r="AO40" i="130"/>
  <c r="AQ40" i="130"/>
  <c r="AE41" i="130"/>
  <c r="AH41" i="130"/>
  <c r="AJ41" i="130"/>
  <c r="AO41" i="130"/>
  <c r="AQ41" i="130"/>
  <c r="AE42" i="130"/>
  <c r="AH42" i="130"/>
  <c r="AJ42" i="130"/>
  <c r="AO42" i="130"/>
  <c r="AQ42" i="130"/>
  <c r="AH43" i="130"/>
  <c r="AN43" i="130"/>
  <c r="AP43" i="130"/>
  <c r="AH44" i="130"/>
  <c r="AN44" i="130"/>
  <c r="AP44" i="130"/>
  <c r="AH45" i="130"/>
  <c r="AN45" i="130"/>
  <c r="AP45" i="130"/>
  <c r="AH46" i="130"/>
  <c r="AN46" i="130"/>
  <c r="AP46" i="130"/>
  <c r="AH47" i="130"/>
  <c r="AN47" i="130"/>
  <c r="AP47" i="130"/>
  <c r="AH48" i="130"/>
  <c r="AN48" i="130"/>
  <c r="AP48" i="130"/>
  <c r="AH49" i="130"/>
  <c r="AN49" i="130"/>
  <c r="AP49" i="130"/>
  <c r="AH50" i="130"/>
  <c r="AN50" i="130"/>
  <c r="AP50" i="130"/>
  <c r="AH51" i="130"/>
  <c r="AN51" i="130"/>
  <c r="AP51" i="130"/>
  <c r="AH52" i="130"/>
  <c r="AN52" i="130"/>
  <c r="AP52" i="130"/>
  <c r="AH53" i="130"/>
  <c r="AN53" i="130"/>
  <c r="AP53" i="130"/>
  <c r="AH54" i="130"/>
  <c r="AN54" i="130"/>
  <c r="AP54" i="130"/>
  <c r="AH55" i="130"/>
  <c r="AN55" i="130"/>
  <c r="AP55" i="130"/>
  <c r="AH56" i="130"/>
  <c r="AN56" i="130"/>
  <c r="AP56" i="130"/>
  <c r="AE73" i="130"/>
  <c r="AG73" i="130"/>
  <c r="AH73" i="130"/>
  <c r="AI73" i="130"/>
  <c r="AK73" i="130"/>
  <c r="AL73" i="130"/>
  <c r="AM73" i="130"/>
  <c r="AN73" i="130"/>
  <c r="AP73" i="130"/>
  <c r="AQ73" i="130"/>
  <c r="AR73" i="130"/>
  <c r="AS73" i="130"/>
  <c r="AT73" i="130"/>
  <c r="AU73" i="130"/>
  <c r="AV73" i="130"/>
  <c r="AW73" i="130"/>
  <c r="AY73" i="130"/>
  <c r="AE74" i="130"/>
  <c r="AG74" i="130"/>
  <c r="AH74" i="130"/>
  <c r="AI74" i="130"/>
  <c r="AK74" i="130"/>
  <c r="AL74" i="130"/>
  <c r="AM74" i="130"/>
  <c r="AN74" i="130"/>
  <c r="AP74" i="130"/>
  <c r="AQ74" i="130"/>
  <c r="AR74" i="130"/>
  <c r="AS74" i="130"/>
  <c r="AT74" i="130"/>
  <c r="AU74" i="130"/>
  <c r="AV74" i="130"/>
  <c r="AW74" i="130"/>
  <c r="AY74" i="130"/>
  <c r="AE75" i="130"/>
  <c r="AG75" i="130"/>
  <c r="AH75" i="130"/>
  <c r="AI75" i="130"/>
  <c r="AK75" i="130"/>
  <c r="AL75" i="130"/>
  <c r="AM75" i="130"/>
  <c r="AN75" i="130"/>
  <c r="AP75" i="130"/>
  <c r="AQ75" i="130"/>
  <c r="AR75" i="130"/>
  <c r="AS75" i="130"/>
  <c r="AT75" i="130"/>
  <c r="AU75" i="130"/>
  <c r="AV75" i="130"/>
  <c r="AW75" i="130"/>
  <c r="AY75" i="130"/>
  <c r="AE76" i="130"/>
  <c r="AG76" i="130"/>
  <c r="AH76" i="130"/>
  <c r="AI76" i="130"/>
  <c r="AK76" i="130"/>
  <c r="AL76" i="130"/>
  <c r="AM76" i="130"/>
  <c r="AN76" i="130"/>
  <c r="AP76" i="130"/>
  <c r="AQ76" i="130"/>
  <c r="AR76" i="130"/>
  <c r="AS76" i="130"/>
  <c r="AT76" i="130"/>
  <c r="AU76" i="130"/>
  <c r="AV76" i="130"/>
  <c r="AW76" i="130"/>
  <c r="AY76" i="130"/>
  <c r="AE77" i="130"/>
  <c r="AG77" i="130"/>
  <c r="AH77" i="130"/>
  <c r="AI77" i="130"/>
  <c r="AK77" i="130"/>
  <c r="AL77" i="130"/>
  <c r="AM77" i="130"/>
  <c r="AN77" i="130"/>
  <c r="AP77" i="130"/>
  <c r="AQ77" i="130"/>
  <c r="AR77" i="130"/>
  <c r="AS77" i="130"/>
  <c r="AT77" i="130"/>
  <c r="AU77" i="130"/>
  <c r="AV77" i="130"/>
  <c r="AW77" i="130"/>
  <c r="AY77" i="130"/>
  <c r="AE78" i="130"/>
  <c r="AG78" i="130"/>
  <c r="AH78" i="130"/>
  <c r="AI78" i="130"/>
  <c r="AK78" i="130"/>
  <c r="AL78" i="130"/>
  <c r="AM78" i="130"/>
  <c r="AN78" i="130"/>
  <c r="AP78" i="130"/>
  <c r="AQ78" i="130"/>
  <c r="AR78" i="130"/>
  <c r="AS78" i="130"/>
  <c r="AT78" i="130"/>
  <c r="AU78" i="130"/>
  <c r="AV78" i="130"/>
  <c r="AW78" i="130"/>
  <c r="AY78" i="130"/>
  <c r="AE79" i="130"/>
  <c r="AG79" i="130"/>
  <c r="AH79" i="130"/>
  <c r="AI79" i="130"/>
  <c r="AK79" i="130"/>
  <c r="AL79" i="130"/>
  <c r="AM79" i="130"/>
  <c r="AN79" i="130"/>
  <c r="AP79" i="130"/>
  <c r="AQ79" i="130"/>
  <c r="AR79" i="130"/>
  <c r="AS79" i="130"/>
  <c r="AT79" i="130"/>
  <c r="AU79" i="130"/>
  <c r="AV79" i="130"/>
  <c r="AW79" i="130"/>
  <c r="AY79" i="130"/>
  <c r="AE80" i="130"/>
  <c r="AG80" i="130"/>
  <c r="AH80" i="130"/>
  <c r="AI80" i="130"/>
  <c r="AK80" i="130"/>
  <c r="AL80" i="130"/>
  <c r="AM80" i="130"/>
  <c r="AN80" i="130"/>
  <c r="AP80" i="130"/>
  <c r="AQ80" i="130"/>
  <c r="AR80" i="130"/>
  <c r="AS80" i="130"/>
  <c r="AT80" i="130"/>
  <c r="AU80" i="130"/>
  <c r="AV80" i="130"/>
  <c r="AW80" i="130"/>
  <c r="AY80" i="130"/>
  <c r="AE81" i="130"/>
  <c r="AG81" i="130"/>
  <c r="AH81" i="130"/>
  <c r="AI81" i="130"/>
  <c r="AK81" i="130"/>
  <c r="AL81" i="130"/>
  <c r="AM81" i="130"/>
  <c r="AN81" i="130"/>
  <c r="AP81" i="130"/>
  <c r="AQ81" i="130"/>
  <c r="AR81" i="130"/>
  <c r="AS81" i="130"/>
  <c r="AT81" i="130"/>
  <c r="AU81" i="130"/>
  <c r="AV81" i="130"/>
  <c r="AW81" i="130"/>
  <c r="AY81" i="130"/>
  <c r="AE82" i="130"/>
  <c r="AG82" i="130"/>
  <c r="AH82" i="130"/>
  <c r="AI82" i="130"/>
  <c r="AK82" i="130"/>
  <c r="AL82" i="130"/>
  <c r="AM82" i="130"/>
  <c r="AN82" i="130"/>
  <c r="AP82" i="130"/>
  <c r="AQ82" i="130"/>
  <c r="AR82" i="130"/>
  <c r="AS82" i="130"/>
  <c r="AT82" i="130"/>
  <c r="AU82" i="130"/>
  <c r="AV82" i="130"/>
  <c r="AW82" i="130"/>
  <c r="AY82" i="130"/>
  <c r="AE83" i="130"/>
  <c r="AG83" i="130"/>
  <c r="AH83" i="130"/>
  <c r="AI83" i="130"/>
  <c r="AK83" i="130"/>
  <c r="AL83" i="130"/>
  <c r="AM83" i="130"/>
  <c r="AN83" i="130"/>
  <c r="AP83" i="130"/>
  <c r="AQ83" i="130"/>
  <c r="AR83" i="130"/>
  <c r="AS83" i="130"/>
  <c r="AT83" i="130"/>
  <c r="AU83" i="130"/>
  <c r="AV83" i="130"/>
  <c r="AW83" i="130"/>
  <c r="AY83" i="130"/>
  <c r="AE84" i="130"/>
  <c r="AG84" i="130"/>
  <c r="AH84" i="130"/>
  <c r="AI84" i="130"/>
  <c r="AK84" i="130"/>
  <c r="AL84" i="130"/>
  <c r="AM84" i="130"/>
  <c r="AN84" i="130"/>
  <c r="AP84" i="130"/>
  <c r="AQ84" i="130"/>
  <c r="AR84" i="130"/>
  <c r="AS84" i="130"/>
  <c r="AT84" i="130"/>
  <c r="AU84" i="130"/>
  <c r="AV84" i="130"/>
  <c r="AW84" i="130"/>
  <c r="AY84" i="130"/>
  <c r="AE85" i="130"/>
  <c r="AG85" i="130"/>
  <c r="AH85" i="130"/>
  <c r="AI85" i="130"/>
  <c r="AK85" i="130"/>
  <c r="AL85" i="130"/>
  <c r="AM85" i="130"/>
  <c r="AN85" i="130"/>
  <c r="AP85" i="130"/>
  <c r="AT85" i="130"/>
  <c r="AU85" i="130"/>
  <c r="AV85" i="130"/>
  <c r="AE86" i="130"/>
  <c r="AG86" i="130"/>
  <c r="AH86" i="130"/>
  <c r="AI86" i="130"/>
  <c r="AK86" i="130"/>
  <c r="AL86" i="130"/>
  <c r="AM86" i="130"/>
  <c r="AN86" i="130"/>
  <c r="AP86" i="130"/>
  <c r="AT86" i="130"/>
  <c r="AU86" i="130"/>
  <c r="AV86" i="130"/>
</calcChain>
</file>

<file path=xl/sharedStrings.xml><?xml version="1.0" encoding="utf-8"?>
<sst xmlns="http://schemas.openxmlformats.org/spreadsheetml/2006/main" count="571" uniqueCount="96">
  <si>
    <t>-</t>
  </si>
  <si>
    <t>Yok</t>
  </si>
  <si>
    <t>Doğal Afet Yardımı</t>
  </si>
  <si>
    <t>Kıdem Yardımı</t>
  </si>
  <si>
    <t>SGK Prim Kesintisi</t>
  </si>
  <si>
    <t>SGK İşsizlik Primi Kesintisi</t>
  </si>
  <si>
    <t>Yemek Yardımı</t>
  </si>
  <si>
    <t>Sosyal Yardım</t>
  </si>
  <si>
    <t>Evlilik Yardımı</t>
  </si>
  <si>
    <t>Annelik İzni</t>
  </si>
  <si>
    <t>Analık Hâli İzni</t>
  </si>
  <si>
    <t>Babalık İzni</t>
  </si>
  <si>
    <t>Süt İzni</t>
  </si>
  <si>
    <t>Engelli Çocuk İzni</t>
  </si>
  <si>
    <t>Evlat Edinme İzni</t>
  </si>
  <si>
    <t>Doğal Afet İzni</t>
  </si>
  <si>
    <t>Ulaşım Yardımı</t>
  </si>
  <si>
    <t>Normal Çalışma</t>
  </si>
  <si>
    <t>BES Kesintisi</t>
  </si>
  <si>
    <t>Damga Vergisi Kesintisi</t>
  </si>
  <si>
    <t>Gelir Vergisi Kesintisi</t>
  </si>
  <si>
    <t>İkramiye Yardımı</t>
  </si>
  <si>
    <t>İş Kazası veya Meslek Hastalığı Tazminatı</t>
  </si>
  <si>
    <t>Nakdi Yardımlar</t>
  </si>
  <si>
    <t>Sendika Üyelik Aidatı Kesintisi</t>
  </si>
  <si>
    <t>Gıda Yardımı</t>
  </si>
  <si>
    <t>Ücretli Sendikal İzin ve Sendika Temsilci Sayısı</t>
  </si>
  <si>
    <t>İş Arama İzni</t>
  </si>
  <si>
    <t>Ücretli Yıllık İzin</t>
  </si>
  <si>
    <t>Kazançlar</t>
  </si>
  <si>
    <t>Kesintiler</t>
  </si>
  <si>
    <t>Cenaze İzni</t>
  </si>
  <si>
    <t>Evlilik İzni</t>
  </si>
  <si>
    <t>Mazeret İzni</t>
  </si>
  <si>
    <t>Yol İzni</t>
  </si>
  <si>
    <t>a) İşçinin eşinin doğum yapması hâlinde 5 takvim günü ücretli sosyal izin verilir.</t>
  </si>
  <si>
    <t>a) İşçinin ikamet ettiği konutun doğal afet nedeniyle hasara uğraması hâlinde 10 iş günü ücretli sosyal izin verilir.</t>
  </si>
  <si>
    <t>a) İşçinin evlenmesi hâlinde 7 iş günü ücretli sosyal izin verilir.
b) İşçinin çocuğunun evlenmesi hâlinde 0 iş günü ücretli sosyal izin verilir.
c) İşçinin evliliğinde, evlilik izninin hangi şekilde kullanılacağı işçinin talebi doğrultusunda değerlendirilir.</t>
  </si>
  <si>
    <t>a) İşçilere, gerekli ve geçerli mazeretleri hâlinde işverenin takdirine bağlı olarak yılda 6 iş günü ücretli sosyal izin verilir.
b) İşçilere, gerekli ve geçerli mazeretleri hâlinde işverenin takdirine bağlı olarak yılda 6 aya kadar ücretsiz sosyal izin verilebilir. Genel müdürün uygun görmesi hâlinde 12 aya kadar uzatılabilir.</t>
  </si>
  <si>
    <t>Askerlik Yardımı</t>
  </si>
  <si>
    <t>a) İşçinin eşinin veya çocuğunun vefatı hâlinde 5 iş günü ücretli sosyal izin verilir.
b) İşçinin annesinin, babasının veya kardeşinin vefatı hâlinde 5 iş günü ücretli sosyal izin verilir.
c) İşçinin eşinin annesinin, babasının veya kardeşinin vefatı hâlinde 5 iş günü ücretli sosyal izin verilir.
d) İşçinin amcasının, halasının, dayısının, teyzesinin, dedesinin veya ninesinin vefatı hâlinde 0 iş günü ücretli sosyal izin verilir.
e) Cenazenin il dışında olması veya il dışına götürülmesi hâlinde işçinin annesinin, babasının, kardeşinin, eşinin veya çocuğunun cenazesi için ilave 5 iş günü amcasının, halasının, dayısının, teyzesinin, dedesinin veya ninesinin cenazesi için ilave 0 iş günü ücretli sosyal izin verilir.
f) İşçilerden birinin vefatı hâlinde cenaze işlemleri veya katılımı için ihtiyaç kadar işçiye ücretli sosyal izin verilir.
g) Vefat eden kişi birden fazla personelin yakını ise cenaze izni her personele ayrı ayrı verilir.</t>
  </si>
  <si>
    <t>a) Yıllık ücretli izinleri işyerinin kurulu bulunduğu yerden başka bir yerde geçirecek olanlara istemde bulunmaları ve bu hususu belgelemeleri koşulu ile gidiş ve dönüşlerinde yolda geçecek süreleri karşılamak üzere işveren toplam 4 güne kadar ücretsiz yol izni vermek zorundadır.
(Yıllık Ücretli İzin Yönetmeliği / Madde 6)</t>
  </si>
  <si>
    <t>a) 01.01.2009 Tarihinden Önce İşe Başlayanlar İçin:
Hizmeti 6 ay olanlar için 0 iş günü ücretli yıllık izin verilir.
Hizmeti 1-5 yıl olanlar için 14 iş günü ücretli yıllık izin verilir.
Hizmeti 5-10 yıl olanlar için 23 iş günü ücretli yıllık izin verilir.
Hizmeti 10-15 yıl olanlar için 23 iş günü ücretli yıllık izin verilir.
Hizmeti 15 yıldan fazla olanlar için 26 iş günü ücretli yıllık izin verilir.
b) 01.01.2009 Tarihinden Sonra İşe Başlayanlar İçin:
Hizmeti 6 ay olanlar için 0 iş günü ücretli yıllık izin verilir.
Hizmeti 1-5 yıl olanlar için 14 iş günü ücretli yıllık izin verilir.
Hizmeti 5-10 yıl olanlar için 20 iş günü ücretli yıllık izin verilir.
Hizmeti 10-15 yıl olanlar için 20 iş günü ücretli yıllık izin verilir.
Hizmeti 15 yıldan fazla olanlar için 26 iş günü ücretli yıllık izin verilir.</t>
  </si>
  <si>
    <t>Yıllık Ortalama</t>
  </si>
  <si>
    <t xml:space="preserve">   Yemek Yardımı</t>
  </si>
  <si>
    <t>Cenaze Yardımı (Anne-Baba)</t>
  </si>
  <si>
    <t>Cenaze Yardımı (Eş-Çocuk)</t>
  </si>
  <si>
    <t>Cenaze Yardımı (İşçi-İş Kazası Sonucu)</t>
  </si>
  <si>
    <t>Cenaze Yardımı (İşçi-Tabii Sebepler Sonucu)</t>
  </si>
  <si>
    <t>Eğitim Yardımı (İşçi-Lise)</t>
  </si>
  <si>
    <t>Eğitim Yardımı (İşçi-Yükseköğretim)</t>
  </si>
  <si>
    <t>Eğitim Yardımı (Çocuk-İlköğretim)</t>
  </si>
  <si>
    <t>Eğitim Yardımı (Çocuk-Ortaöğretim)</t>
  </si>
  <si>
    <t>Eğitim Yardımı (Çocuk-Lise)</t>
  </si>
  <si>
    <t>Eğitim Yardımı (Çocuk-Yükseköğretim)</t>
  </si>
  <si>
    <t xml:space="preserve">   Toplam Kazanç
   Net</t>
  </si>
  <si>
    <t>İşveren Maliyeti</t>
  </si>
  <si>
    <r>
      <t xml:space="preserve">   Sonraki Ayın 1'inde
   </t>
    </r>
    <r>
      <rPr>
        <b/>
        <sz val="16"/>
        <rFont val="Calibri"/>
        <family val="2"/>
        <charset val="162"/>
        <scheme val="minor"/>
      </rPr>
      <t>Net</t>
    </r>
  </si>
  <si>
    <t>a) 3 yaşını doldurmamış çocuğu evlat edinen eşlerden birine veya evlat edinene çocuğun aileye fiilen teslim edildiği tarihten itibaren 8 hafta analık hâli izni kullandırılır.
(4857 sayılı İş Kanunu / Madde 74)</t>
  </si>
  <si>
    <t>Miktar</t>
  </si>
  <si>
    <t xml:space="preserve">   BES Kesintisi</t>
  </si>
  <si>
    <t>Toplam</t>
  </si>
  <si>
    <t>Ortalama</t>
  </si>
  <si>
    <t>Fazla Çalışma (% 50)</t>
  </si>
  <si>
    <t>Fazla Sürelerle Çalışma (% 25)</t>
  </si>
  <si>
    <t>Resmi Tatillerde Çalışma (% 100)</t>
  </si>
  <si>
    <t>Gece Çalışma (% 12)</t>
  </si>
  <si>
    <r>
      <t xml:space="preserve">   Resmi Tatillerde Çalışma
   </t>
    </r>
    <r>
      <rPr>
        <b/>
        <sz val="16"/>
        <rFont val="Calibri"/>
        <family val="2"/>
        <charset val="162"/>
        <scheme val="minor"/>
      </rPr>
      <t>% 100</t>
    </r>
  </si>
  <si>
    <r>
      <t xml:space="preserve">   Sonraki Ayın 15'inde
   Fazla Çalışma (Gündüz-Gece-Resmi Tatil)
   Yemek Yardımı
   </t>
    </r>
    <r>
      <rPr>
        <b/>
        <sz val="16"/>
        <rFont val="Calibri"/>
        <family val="2"/>
        <charset val="162"/>
        <scheme val="minor"/>
      </rPr>
      <t>Net</t>
    </r>
  </si>
  <si>
    <t xml:space="preserve">   Engellilik İndirimi</t>
  </si>
  <si>
    <t>Ocak</t>
  </si>
  <si>
    <t>Şubat</t>
  </si>
  <si>
    <t>Mart</t>
  </si>
  <si>
    <t>Nisan</t>
  </si>
  <si>
    <t>Mayıs</t>
  </si>
  <si>
    <t>Haziran</t>
  </si>
  <si>
    <t>Temmuz</t>
  </si>
  <si>
    <t>Ağustos</t>
  </si>
  <si>
    <t>Eylül</t>
  </si>
  <si>
    <t>Ekim</t>
  </si>
  <si>
    <t>Kasım</t>
  </si>
  <si>
    <t>Aralık</t>
  </si>
  <si>
    <r>
      <t xml:space="preserve">  Aylık Kök Ücret
  </t>
    </r>
    <r>
      <rPr>
        <b/>
        <sz val="16"/>
        <rFont val="Calibri"/>
        <family val="2"/>
        <charset val="162"/>
        <scheme val="minor"/>
      </rPr>
      <t>Brüt</t>
    </r>
  </si>
  <si>
    <r>
      <t xml:space="preserve">  Aylık Kök Ücret
  </t>
    </r>
    <r>
      <rPr>
        <b/>
        <sz val="16"/>
        <rFont val="Calibri"/>
        <family val="2"/>
        <charset val="162"/>
        <scheme val="minor"/>
      </rPr>
      <t>Net</t>
    </r>
  </si>
  <si>
    <r>
      <t xml:space="preserve">  Günlük Kök Ücret
  </t>
    </r>
    <r>
      <rPr>
        <b/>
        <sz val="16"/>
        <rFont val="Calibri"/>
        <family val="2"/>
        <charset val="162"/>
        <scheme val="minor"/>
      </rPr>
      <t>Brüt</t>
    </r>
  </si>
  <si>
    <r>
      <t xml:space="preserve">  Günlük Kök Ücret
  </t>
    </r>
    <r>
      <rPr>
        <b/>
        <sz val="16"/>
        <rFont val="Calibri"/>
        <family val="2"/>
        <charset val="162"/>
        <scheme val="minor"/>
      </rPr>
      <t>Net</t>
    </r>
  </si>
  <si>
    <r>
      <t xml:space="preserve">   Sosyal Yardım
   </t>
    </r>
    <r>
      <rPr>
        <b/>
        <sz val="16"/>
        <rFont val="Calibri"/>
        <family val="2"/>
        <charset val="162"/>
        <scheme val="minor"/>
      </rPr>
      <t>Brüt</t>
    </r>
  </si>
  <si>
    <t>Kapsam Dışı</t>
  </si>
  <si>
    <r>
      <t xml:space="preserve">   Fazla Çalışma
   </t>
    </r>
    <r>
      <rPr>
        <b/>
        <sz val="16"/>
        <rFont val="Calibri"/>
        <family val="2"/>
        <charset val="162"/>
        <scheme val="minor"/>
      </rPr>
      <t>% 50</t>
    </r>
  </si>
  <si>
    <r>
      <t xml:space="preserve">   Fazla Sürelerle Çalışma
   </t>
    </r>
    <r>
      <rPr>
        <b/>
        <sz val="16"/>
        <rFont val="Calibri"/>
        <family val="2"/>
        <charset val="162"/>
        <scheme val="minor"/>
      </rPr>
      <t>% 25</t>
    </r>
  </si>
  <si>
    <r>
      <t xml:space="preserve">a) Kadın işçilerin </t>
    </r>
    <r>
      <rPr>
        <b/>
        <sz val="16"/>
        <color theme="0"/>
        <rFont val="Calibri"/>
        <family val="2"/>
        <charset val="162"/>
        <scheme val="minor"/>
      </rPr>
      <t>doğumdan önce 8 ve doğumdan sonra 8 hafta</t>
    </r>
    <r>
      <rPr>
        <sz val="16"/>
        <color theme="0"/>
        <rFont val="Calibri"/>
        <family val="2"/>
        <charset val="162"/>
        <scheme val="minor"/>
      </rPr>
      <t xml:space="preserve"> olmak üzere toplam 16 haftalık süre için çalıştırılmamaları esastır.
(4857 sayılı İş Kanunu / Madde 74)</t>
    </r>
  </si>
  <si>
    <r>
      <t xml:space="preserve">a) İşçilerin en az %70 oranında engelli veya süreğen hastalığı olan çocuğunun tedavisinde, hastalık raporuna dayalı olarak ve çalışan ebeveynden sadece biri tarafından kullanılması kaydıyla, </t>
    </r>
    <r>
      <rPr>
        <b/>
        <sz val="16"/>
        <color theme="0"/>
        <rFont val="Calibri"/>
        <family val="2"/>
        <charset val="162"/>
        <scheme val="minor"/>
      </rPr>
      <t>bir yıl içinde toptan veya bölümler hâlinde 10 güne kadar</t>
    </r>
    <r>
      <rPr>
        <sz val="16"/>
        <color theme="0"/>
        <rFont val="Calibri"/>
        <family val="2"/>
        <charset val="162"/>
        <scheme val="minor"/>
      </rPr>
      <t xml:space="preserve"> ücretli izin verilir.
(4857 sayılı İş Kanunu / Ek Madde 2)</t>
    </r>
  </si>
  <si>
    <r>
      <t xml:space="preserve">a) İşçiye; evlat edinmesi hâlinde </t>
    </r>
    <r>
      <rPr>
        <b/>
        <sz val="16"/>
        <color theme="0"/>
        <rFont val="Calibri"/>
        <family val="2"/>
        <charset val="162"/>
        <scheme val="minor"/>
      </rPr>
      <t>3 gün</t>
    </r>
    <r>
      <rPr>
        <sz val="16"/>
        <color theme="0"/>
        <rFont val="Calibri"/>
        <family val="2"/>
        <charset val="162"/>
        <scheme val="minor"/>
      </rPr>
      <t xml:space="preserve"> ücretli izin verilir.
(4857 sayılı İş Kanunu / Ek Madde 2)</t>
    </r>
  </si>
  <si>
    <r>
      <t xml:space="preserve">a) Bildirim süreleri içinde işveren, işçiye yeni bir iş bulması için gerekli olan iş arama iznini iş saatleri içinde ve ücret kesintisi yapmadan vermeye mecburdur. İş arama izninin süresi </t>
    </r>
    <r>
      <rPr>
        <b/>
        <sz val="16"/>
        <color theme="0"/>
        <rFont val="Calibri"/>
        <family val="2"/>
        <charset val="162"/>
        <scheme val="minor"/>
      </rPr>
      <t>günde 2 saatten az olamaz</t>
    </r>
    <r>
      <rPr>
        <sz val="16"/>
        <color theme="0"/>
        <rFont val="Calibri"/>
        <family val="2"/>
        <charset val="162"/>
        <scheme val="minor"/>
      </rPr>
      <t xml:space="preserve"> ve işçi isterse iş arama izin saatlerini birleştirerek toplu kullanabilir.
(4857 sayılı İş Kanunu / Madde 27)</t>
    </r>
  </si>
  <si>
    <r>
      <t xml:space="preserve">a) Kadın işçilere bir yaşından küçük çocuklarını emzirmeleri için </t>
    </r>
    <r>
      <rPr>
        <b/>
        <sz val="16"/>
        <color theme="0"/>
        <rFont val="Calibri"/>
        <family val="2"/>
        <charset val="162"/>
        <scheme val="minor"/>
      </rPr>
      <t>günde toplam 1,5 saat</t>
    </r>
    <r>
      <rPr>
        <sz val="16"/>
        <color theme="0"/>
        <rFont val="Calibri"/>
        <family val="2"/>
        <charset val="162"/>
        <scheme val="minor"/>
      </rPr>
      <t xml:space="preserve"> süt izni verilir.
(4857 sayılı İş Kanunu / Madde 74)</t>
    </r>
  </si>
  <si>
    <r>
      <t xml:space="preserve">a) İşyerinde işçi sayısı 50’ye kadar ise yıllık en fazla 20 iş günü ücretli izin verilir.
İşyerinde işçi sayısı 51 ile 100 arasında ise yıllık en fazla 30 iş günü ücretli izin verilir.
İşyerinde işçi sayısı 101 ile 200 arasında ise yıllık en fazla 40 iş günü ücretli izin verilir.
İşyerinde işçi sayısı 201 ile 500 arasında ise yıllık en fazla 60 iş günü ücretli izin verilir.
İşyerinde işçi sayısı 501 ile 1000 arasında ise yıllık en fazla 80 iş günü ücretli izin verilir.
İşyerinde işçi sayısı 1000 işçiden fazla ise yıllık en fazla işçi sayısının % 10'u kadar iş günü ücretli sendikal izin verilir.
(6. Dönem Toplu İş Sözleşmesi / Madde 36)
b) Sendikal faaliyetler için sendikanın yazılı talebi üzerine ve işverenin hizmetlerini aksatmamak suretiyle, işçilere ayrı ayrı olmadan çalışan kişi sayısı karşılığına gelen gün kadar yıllık ücretli sendikal izin verilir.
c) Temsilcilik görevlerini yerine getirmeleri için baştemsilciye haftada 1 gün, diğer temsilcilere ayda 1’er gün ücretli sendikal izin verilir.
d) Toplu iş sözleşmesi yapmak üzere yetkisi kesinleşen sendika; 
işyerinde işçi sayısı </t>
    </r>
    <r>
      <rPr>
        <b/>
        <sz val="16"/>
        <color theme="0"/>
        <rFont val="Calibri"/>
        <family val="2"/>
        <charset val="162"/>
        <scheme val="minor"/>
      </rPr>
      <t>50’ye kadar ise 1</t>
    </r>
    <r>
      <rPr>
        <sz val="16"/>
        <color theme="0"/>
        <rFont val="Calibri"/>
        <family val="2"/>
        <charset val="162"/>
        <scheme val="minor"/>
      </rPr>
      <t xml:space="preserve">,
</t>
    </r>
    <r>
      <rPr>
        <b/>
        <sz val="16"/>
        <color theme="0"/>
        <rFont val="Calibri"/>
        <family val="2"/>
        <charset val="162"/>
        <scheme val="minor"/>
      </rPr>
      <t>51 ile 100 arasında</t>
    </r>
    <r>
      <rPr>
        <sz val="16"/>
        <color theme="0"/>
        <rFont val="Calibri"/>
        <family val="2"/>
        <charset val="162"/>
        <scheme val="minor"/>
      </rPr>
      <t xml:space="preserve"> ise </t>
    </r>
    <r>
      <rPr>
        <b/>
        <sz val="16"/>
        <color theme="0"/>
        <rFont val="Calibri"/>
        <family val="2"/>
        <charset val="162"/>
        <scheme val="minor"/>
      </rPr>
      <t>en çok 2</t>
    </r>
    <r>
      <rPr>
        <sz val="16"/>
        <color theme="0"/>
        <rFont val="Calibri"/>
        <family val="2"/>
        <charset val="162"/>
        <scheme val="minor"/>
      </rPr>
      <t xml:space="preserve">,
</t>
    </r>
    <r>
      <rPr>
        <b/>
        <sz val="16"/>
        <color theme="0"/>
        <rFont val="Calibri"/>
        <family val="2"/>
        <charset val="162"/>
        <scheme val="minor"/>
      </rPr>
      <t>101 ile 500 arasında</t>
    </r>
    <r>
      <rPr>
        <sz val="16"/>
        <color theme="0"/>
        <rFont val="Calibri"/>
        <family val="2"/>
        <charset val="162"/>
        <scheme val="minor"/>
      </rPr>
      <t xml:space="preserve"> ise </t>
    </r>
    <r>
      <rPr>
        <b/>
        <sz val="16"/>
        <color theme="0"/>
        <rFont val="Calibri"/>
        <family val="2"/>
        <charset val="162"/>
        <scheme val="minor"/>
      </rPr>
      <t>en çok 3</t>
    </r>
    <r>
      <rPr>
        <sz val="16"/>
        <color theme="0"/>
        <rFont val="Calibri"/>
        <family val="2"/>
        <charset val="162"/>
        <scheme val="minor"/>
      </rPr>
      <t xml:space="preserve">,
</t>
    </r>
    <r>
      <rPr>
        <b/>
        <sz val="16"/>
        <color theme="0"/>
        <rFont val="Calibri"/>
        <family val="2"/>
        <charset val="162"/>
        <scheme val="minor"/>
      </rPr>
      <t>501 ile 1000 arasında</t>
    </r>
    <r>
      <rPr>
        <sz val="16"/>
        <color theme="0"/>
        <rFont val="Calibri"/>
        <family val="2"/>
        <charset val="162"/>
        <scheme val="minor"/>
      </rPr>
      <t xml:space="preserve"> ise </t>
    </r>
    <r>
      <rPr>
        <b/>
        <sz val="16"/>
        <color theme="0"/>
        <rFont val="Calibri"/>
        <family val="2"/>
        <charset val="162"/>
        <scheme val="minor"/>
      </rPr>
      <t>en çok 4</t>
    </r>
    <r>
      <rPr>
        <sz val="16"/>
        <color theme="0"/>
        <rFont val="Calibri"/>
        <family val="2"/>
        <charset val="162"/>
        <scheme val="minor"/>
      </rPr>
      <t xml:space="preserve">,
</t>
    </r>
    <r>
      <rPr>
        <b/>
        <sz val="16"/>
        <color theme="0"/>
        <rFont val="Calibri"/>
        <family val="2"/>
        <charset val="162"/>
        <scheme val="minor"/>
      </rPr>
      <t>1001 ile 2000 arasında</t>
    </r>
    <r>
      <rPr>
        <sz val="16"/>
        <color theme="0"/>
        <rFont val="Calibri"/>
        <family val="2"/>
        <charset val="162"/>
        <scheme val="minor"/>
      </rPr>
      <t xml:space="preserve"> ise </t>
    </r>
    <r>
      <rPr>
        <b/>
        <sz val="16"/>
        <color theme="0"/>
        <rFont val="Calibri"/>
        <family val="2"/>
        <charset val="162"/>
        <scheme val="minor"/>
      </rPr>
      <t>en çok 6</t>
    </r>
    <r>
      <rPr>
        <sz val="16"/>
        <color theme="0"/>
        <rFont val="Calibri"/>
        <family val="2"/>
        <charset val="162"/>
        <scheme val="minor"/>
      </rPr>
      <t xml:space="preserve">,
</t>
    </r>
    <r>
      <rPr>
        <b/>
        <sz val="16"/>
        <color theme="0"/>
        <rFont val="Calibri"/>
        <family val="2"/>
        <charset val="162"/>
        <scheme val="minor"/>
      </rPr>
      <t>2000’den fazla</t>
    </r>
    <r>
      <rPr>
        <sz val="16"/>
        <color theme="0"/>
        <rFont val="Calibri"/>
        <family val="2"/>
        <charset val="162"/>
        <scheme val="minor"/>
      </rPr>
      <t xml:space="preserve"> ise </t>
    </r>
    <r>
      <rPr>
        <b/>
        <sz val="16"/>
        <color theme="0"/>
        <rFont val="Calibri"/>
        <family val="2"/>
        <charset val="162"/>
        <scheme val="minor"/>
      </rPr>
      <t>en çok 8</t>
    </r>
    <r>
      <rPr>
        <sz val="16"/>
        <color theme="0"/>
        <rFont val="Calibri"/>
        <family val="2"/>
        <charset val="162"/>
        <scheme val="minor"/>
      </rPr>
      <t xml:space="preserve"> işyeri sendika temsilcisini işyerinde çalışan üyeleri arasından atayarak </t>
    </r>
    <r>
      <rPr>
        <b/>
        <sz val="16"/>
        <color theme="0"/>
        <rFont val="Calibri"/>
        <family val="2"/>
        <charset val="162"/>
        <scheme val="minor"/>
      </rPr>
      <t>15 gün içinde</t>
    </r>
    <r>
      <rPr>
        <sz val="16"/>
        <color theme="0"/>
        <rFont val="Calibri"/>
        <family val="2"/>
        <charset val="162"/>
        <scheme val="minor"/>
      </rPr>
      <t xml:space="preserve"> kimliklerini işverene bildirir. Bunlardan </t>
    </r>
    <r>
      <rPr>
        <b/>
        <sz val="16"/>
        <color theme="0"/>
        <rFont val="Calibri"/>
        <family val="2"/>
        <charset val="162"/>
        <scheme val="minor"/>
      </rPr>
      <t>biri baş temsilci</t>
    </r>
    <r>
      <rPr>
        <sz val="16"/>
        <color theme="0"/>
        <rFont val="Calibri"/>
        <family val="2"/>
        <charset val="162"/>
        <scheme val="minor"/>
      </rPr>
      <t xml:space="preserve"> olarak görevlendirilebilir. Temsilcilerin görevi, sendikanın yetkisi süresince devam eder.
(6356 sayılı Sendikalar ve Toplu İş Sözleşmesi Kanunu / Madde 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</si>
</sst>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dd/mm/yyyy;@"/>
    <numFmt numFmtId="165" formatCode="0\ &quot;Gün&quot;"/>
    <numFmt numFmtId="166" formatCode="0\ &quot;Yıl&quot;"/>
    <numFmt numFmtId="167" formatCode="#,##0.00\ &quot;₺&quot;"/>
    <numFmt numFmtId="168" formatCode="0.000000"/>
    <numFmt numFmtId="169" formatCode="%\ 0"/>
    <numFmt numFmtId="170" formatCode="%\ 0.00"/>
    <numFmt numFmtId="171" formatCode="0.0\ &quot;Saat&quot;"/>
    <numFmt numFmtId="172" formatCode="0.0000000"/>
    <numFmt numFmtId="173" formatCode="0.0"/>
  </numFmts>
  <fonts count="16" x14ac:knownFonts="1">
    <font>
      <sz val="11"/>
      <color rgb="FF000000"/>
      <name val="Calibri"/>
      <family val="2"/>
      <charset val="1"/>
    </font>
    <font>
      <sz val="11"/>
      <color rgb="FF000000"/>
      <name val="Calibri"/>
      <family val="2"/>
      <charset val="162"/>
    </font>
    <font>
      <sz val="11"/>
      <color rgb="FF000000"/>
      <name val="Calibri"/>
      <family val="2"/>
      <charset val="1"/>
    </font>
    <font>
      <sz val="10"/>
      <name val="Arial Tur"/>
      <charset val="162"/>
    </font>
    <font>
      <sz val="8"/>
      <name val="Calibri"/>
      <family val="2"/>
      <charset val="1"/>
    </font>
    <font>
      <sz val="16"/>
      <name val="Calibri"/>
      <family val="2"/>
      <charset val="162"/>
      <scheme val="minor"/>
    </font>
    <font>
      <b/>
      <sz val="16"/>
      <name val="Calibri"/>
      <family val="2"/>
      <charset val="162"/>
      <scheme val="minor"/>
    </font>
    <font>
      <sz val="16"/>
      <color rgb="FFFF0000"/>
      <name val="Calibri"/>
      <family val="2"/>
      <charset val="162"/>
      <scheme val="minor"/>
    </font>
    <font>
      <b/>
      <sz val="22"/>
      <name val="Calibri"/>
      <family val="2"/>
      <charset val="162"/>
      <scheme val="minor"/>
    </font>
    <font>
      <b/>
      <sz val="22"/>
      <color rgb="FFFF0000"/>
      <name val="Calibri"/>
      <family val="2"/>
      <charset val="162"/>
      <scheme val="minor"/>
    </font>
    <font>
      <sz val="15"/>
      <name val="Calibri"/>
      <family val="2"/>
      <charset val="162"/>
      <scheme val="minor"/>
    </font>
    <font>
      <sz val="14"/>
      <name val="Calibri"/>
      <family val="2"/>
      <charset val="162"/>
      <scheme val="minor"/>
    </font>
    <font>
      <sz val="26"/>
      <name val="Calibri"/>
      <family val="2"/>
      <charset val="162"/>
      <scheme val="minor"/>
    </font>
    <font>
      <sz val="16"/>
      <color theme="0"/>
      <name val="Calibri"/>
      <family val="2"/>
      <charset val="162"/>
      <scheme val="minor"/>
    </font>
    <font>
      <b/>
      <sz val="16"/>
      <color theme="0"/>
      <name val="Calibri"/>
      <family val="2"/>
      <charset val="162"/>
      <scheme val="minor"/>
    </font>
    <font>
      <sz val="16"/>
      <color theme="1"/>
      <name val="Calibri"/>
      <family val="2"/>
      <charset val="162"/>
      <scheme val="minor"/>
    </font>
  </fonts>
  <fills count="6">
    <fill>
      <patternFill patternType="none"/>
    </fill>
    <fill>
      <patternFill patternType="gray125"/>
    </fill>
    <fill>
      <patternFill patternType="solid">
        <fgColor theme="0" tint="-0.14999847407452621"/>
        <bgColor indexed="64"/>
      </patternFill>
    </fill>
    <fill>
      <patternFill patternType="solid">
        <fgColor rgb="FFC8E1B4"/>
        <bgColor indexed="64"/>
      </patternFill>
    </fill>
    <fill>
      <patternFill patternType="solid">
        <fgColor theme="8" tint="0.79998168889431442"/>
        <bgColor indexed="64"/>
      </patternFill>
    </fill>
    <fill>
      <patternFill patternType="solid">
        <fgColor rgb="FFDAEEF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s>
  <cellStyleXfs count="6">
    <xf numFmtId="0" fontId="0" fillId="0" borderId="0"/>
    <xf numFmtId="0" fontId="1" fillId="0" borderId="0"/>
    <xf numFmtId="0" fontId="3" fillId="0" borderId="0"/>
    <xf numFmtId="0" fontId="2" fillId="0" borderId="0"/>
    <xf numFmtId="9" fontId="3" fillId="0" borderId="0" applyFont="0" applyFill="0" applyBorder="0" applyAlignment="0" applyProtection="0"/>
    <xf numFmtId="0" fontId="3" fillId="0" borderId="0" applyFont="0" applyFill="0" applyBorder="0" applyAlignment="0" applyProtection="0"/>
  </cellStyleXfs>
  <cellXfs count="67">
    <xf numFmtId="0" fontId="0" fillId="0" borderId="0" xfId="0"/>
    <xf numFmtId="0" fontId="5" fillId="2" borderId="1" xfId="2" applyFont="1" applyFill="1" applyBorder="1" applyAlignment="1" applyProtection="1">
      <alignment horizontal="center" vertical="center" wrapText="1"/>
      <protection hidden="1"/>
    </xf>
    <xf numFmtId="0" fontId="5" fillId="0" borderId="0" xfId="2" applyFont="1" applyAlignment="1" applyProtection="1">
      <alignment horizontal="center" vertical="center" wrapText="1"/>
      <protection hidden="1"/>
    </xf>
    <xf numFmtId="4" fontId="5" fillId="2" borderId="1" xfId="2" applyNumberFormat="1" applyFont="1" applyFill="1" applyBorder="1" applyAlignment="1" applyProtection="1">
      <alignment horizontal="center" vertical="center" wrapText="1"/>
      <protection hidden="1"/>
    </xf>
    <xf numFmtId="170" fontId="10" fillId="2" borderId="1" xfId="2" applyNumberFormat="1" applyFont="1" applyFill="1" applyBorder="1" applyAlignment="1" applyProtection="1">
      <alignment horizontal="center" vertical="center" wrapText="1"/>
      <protection hidden="1"/>
    </xf>
    <xf numFmtId="2" fontId="5" fillId="2" borderId="1" xfId="0" applyNumberFormat="1" applyFont="1" applyFill="1" applyBorder="1" applyAlignment="1" applyProtection="1">
      <alignment horizontal="center" vertical="center" wrapText="1"/>
      <protection hidden="1"/>
    </xf>
    <xf numFmtId="4" fontId="5" fillId="3" borderId="1" xfId="2" applyNumberFormat="1" applyFont="1" applyFill="1" applyBorder="1" applyAlignment="1" applyProtection="1">
      <alignment horizontal="center" vertical="center" wrapText="1"/>
      <protection hidden="1"/>
    </xf>
    <xf numFmtId="4" fontId="5" fillId="5" borderId="1" xfId="2" applyNumberFormat="1" applyFont="1" applyFill="1" applyBorder="1" applyAlignment="1" applyProtection="1">
      <alignment horizontal="center" vertical="center" wrapText="1"/>
      <protection hidden="1"/>
    </xf>
    <xf numFmtId="4" fontId="8" fillId="4" borderId="1" xfId="2" applyNumberFormat="1" applyFont="1" applyFill="1" applyBorder="1" applyAlignment="1" applyProtection="1">
      <alignment horizontal="center" vertical="center" wrapText="1"/>
      <protection hidden="1"/>
    </xf>
    <xf numFmtId="4" fontId="9" fillId="4" borderId="1" xfId="2" applyNumberFormat="1" applyFont="1" applyFill="1" applyBorder="1" applyAlignment="1" applyProtection="1">
      <alignment horizontal="center" vertical="center" wrapText="1"/>
      <protection hidden="1"/>
    </xf>
    <xf numFmtId="4" fontId="10" fillId="2" borderId="1" xfId="2" applyNumberFormat="1" applyFont="1" applyFill="1" applyBorder="1" applyAlignment="1" applyProtection="1">
      <alignment horizontal="center" vertical="center" wrapText="1"/>
      <protection hidden="1"/>
    </xf>
    <xf numFmtId="173" fontId="5" fillId="2" borderId="1" xfId="2" applyNumberFormat="1" applyFont="1" applyFill="1" applyBorder="1" applyAlignment="1" applyProtection="1">
      <alignment horizontal="center" vertical="center" wrapText="1"/>
      <protection hidden="1"/>
    </xf>
    <xf numFmtId="1" fontId="5" fillId="2" borderId="1" xfId="2" applyNumberFormat="1" applyFont="1" applyFill="1" applyBorder="1" applyAlignment="1" applyProtection="1">
      <alignment horizontal="center" vertical="center" wrapText="1"/>
      <protection hidden="1"/>
    </xf>
    <xf numFmtId="4" fontId="8" fillId="2" borderId="1" xfId="2" applyNumberFormat="1" applyFont="1" applyFill="1" applyBorder="1" applyAlignment="1" applyProtection="1">
      <alignment horizontal="center" vertical="center" wrapText="1"/>
      <protection hidden="1"/>
    </xf>
    <xf numFmtId="4" fontId="9" fillId="2" borderId="1" xfId="2" applyNumberFormat="1" applyFont="1" applyFill="1" applyBorder="1" applyAlignment="1" applyProtection="1">
      <alignment horizontal="center" vertical="center" wrapText="1"/>
      <protection hidden="1"/>
    </xf>
    <xf numFmtId="2" fontId="11" fillId="2" borderId="1" xfId="0" applyNumberFormat="1" applyFont="1" applyFill="1" applyBorder="1" applyAlignment="1" applyProtection="1">
      <alignment horizontal="center" vertical="center" wrapText="1"/>
      <protection hidden="1"/>
    </xf>
    <xf numFmtId="0" fontId="5" fillId="0" borderId="0" xfId="2" applyFont="1" applyAlignment="1" applyProtection="1">
      <alignment horizontal="right" vertical="center" wrapText="1"/>
      <protection hidden="1"/>
    </xf>
    <xf numFmtId="0" fontId="13" fillId="0" borderId="0" xfId="2" applyFont="1" applyAlignment="1" applyProtection="1">
      <alignment horizontal="center" vertical="center" wrapText="1"/>
      <protection hidden="1"/>
    </xf>
    <xf numFmtId="167" fontId="13" fillId="0" borderId="0" xfId="2" applyNumberFormat="1" applyFont="1" applyAlignment="1" applyProtection="1">
      <alignment horizontal="center" vertical="center" wrapText="1"/>
      <protection hidden="1"/>
    </xf>
    <xf numFmtId="165" fontId="13" fillId="0" borderId="0" xfId="2" applyNumberFormat="1" applyFont="1" applyAlignment="1" applyProtection="1">
      <alignment horizontal="center" vertical="center" wrapText="1"/>
      <protection hidden="1"/>
    </xf>
    <xf numFmtId="170" fontId="13" fillId="0" borderId="0" xfId="2" applyNumberFormat="1" applyFont="1" applyAlignment="1" applyProtection="1">
      <alignment horizontal="center" vertical="center" wrapText="1"/>
      <protection hidden="1"/>
    </xf>
    <xf numFmtId="0" fontId="13" fillId="0" borderId="0" xfId="3" applyFont="1" applyAlignment="1" applyProtection="1">
      <alignment horizontal="center" vertical="center" wrapText="1"/>
      <protection hidden="1"/>
    </xf>
    <xf numFmtId="2" fontId="13" fillId="0" borderId="0" xfId="3" applyNumberFormat="1" applyFont="1" applyAlignment="1" applyProtection="1">
      <alignment horizontal="center" vertical="center" wrapText="1"/>
      <protection hidden="1"/>
    </xf>
    <xf numFmtId="4" fontId="13" fillId="0" borderId="0" xfId="2" applyNumberFormat="1" applyFont="1" applyAlignment="1" applyProtection="1">
      <alignment horizontal="center" vertical="center" wrapText="1"/>
      <protection hidden="1"/>
    </xf>
    <xf numFmtId="164" fontId="13" fillId="0" borderId="0" xfId="2" applyNumberFormat="1" applyFont="1" applyAlignment="1" applyProtection="1">
      <alignment horizontal="center" vertical="center" wrapText="1"/>
      <protection hidden="1"/>
    </xf>
    <xf numFmtId="164" fontId="13" fillId="0" borderId="0" xfId="0" applyNumberFormat="1" applyFont="1" applyAlignment="1" applyProtection="1">
      <alignment horizontal="center" vertical="center" wrapText="1"/>
      <protection hidden="1"/>
    </xf>
    <xf numFmtId="165" fontId="13" fillId="0" borderId="0" xfId="0" applyNumberFormat="1" applyFont="1" applyAlignment="1" applyProtection="1">
      <alignment horizontal="center" vertical="center" wrapText="1"/>
      <protection hidden="1"/>
    </xf>
    <xf numFmtId="167" fontId="13" fillId="0" borderId="0" xfId="0" applyNumberFormat="1" applyFont="1" applyAlignment="1" applyProtection="1">
      <alignment horizontal="center" vertical="center" wrapText="1"/>
      <protection hidden="1"/>
    </xf>
    <xf numFmtId="166" fontId="13" fillId="0" borderId="0" xfId="2" applyNumberFormat="1" applyFont="1" applyAlignment="1" applyProtection="1">
      <alignment horizontal="center" vertical="center" wrapText="1"/>
      <protection hidden="1"/>
    </xf>
    <xf numFmtId="3" fontId="13" fillId="0" borderId="0" xfId="2" applyNumberFormat="1" applyFont="1" applyAlignment="1" applyProtection="1">
      <alignment horizontal="center" vertical="center" wrapText="1"/>
      <protection hidden="1"/>
    </xf>
    <xf numFmtId="2" fontId="13" fillId="0" borderId="0" xfId="2" applyNumberFormat="1" applyFont="1" applyAlignment="1" applyProtection="1">
      <alignment horizontal="center" vertical="center" wrapText="1"/>
      <protection hidden="1"/>
    </xf>
    <xf numFmtId="0" fontId="13" fillId="0" borderId="0" xfId="0" applyFont="1" applyAlignment="1" applyProtection="1">
      <alignment horizontal="center" vertical="center" wrapText="1"/>
      <protection hidden="1"/>
    </xf>
    <xf numFmtId="0" fontId="13" fillId="0" borderId="0" xfId="0" applyFont="1" applyAlignment="1" applyProtection="1">
      <alignment horizontal="right" vertical="center" wrapText="1"/>
      <protection hidden="1"/>
    </xf>
    <xf numFmtId="49" fontId="13" fillId="0" borderId="0" xfId="0" applyNumberFormat="1" applyFont="1" applyAlignment="1" applyProtection="1">
      <alignment horizontal="center" vertical="center" wrapText="1"/>
      <protection hidden="1"/>
    </xf>
    <xf numFmtId="49" fontId="13" fillId="0" borderId="0" xfId="2" applyNumberFormat="1" applyFont="1" applyAlignment="1" applyProtection="1">
      <alignment horizontal="center" vertical="center" wrapText="1"/>
      <protection hidden="1"/>
    </xf>
    <xf numFmtId="172" fontId="13" fillId="0" borderId="0" xfId="2" applyNumberFormat="1" applyFont="1" applyAlignment="1" applyProtection="1">
      <alignment horizontal="center" vertical="center" wrapText="1"/>
      <protection hidden="1"/>
    </xf>
    <xf numFmtId="171" fontId="13" fillId="0" borderId="0" xfId="3" applyNumberFormat="1" applyFont="1" applyAlignment="1" applyProtection="1">
      <alignment horizontal="center" vertical="center" wrapText="1"/>
      <protection hidden="1"/>
    </xf>
    <xf numFmtId="167" fontId="13" fillId="0" borderId="0" xfId="3" applyNumberFormat="1" applyFont="1" applyAlignment="1" applyProtection="1">
      <alignment horizontal="center" vertical="center" wrapText="1"/>
      <protection hidden="1"/>
    </xf>
    <xf numFmtId="2" fontId="13" fillId="0" borderId="0" xfId="2" applyNumberFormat="1" applyFont="1" applyAlignment="1" applyProtection="1">
      <alignment horizontal="right" vertical="center" wrapText="1"/>
      <protection hidden="1"/>
    </xf>
    <xf numFmtId="171" fontId="13" fillId="0" borderId="0" xfId="2" applyNumberFormat="1" applyFont="1" applyAlignment="1" applyProtection="1">
      <alignment horizontal="center" vertical="center" wrapText="1"/>
      <protection hidden="1"/>
    </xf>
    <xf numFmtId="49" fontId="13" fillId="0" borderId="0" xfId="3" applyNumberFormat="1" applyFont="1" applyAlignment="1" applyProtection="1">
      <alignment horizontal="center" vertical="center" wrapText="1"/>
      <protection hidden="1"/>
    </xf>
    <xf numFmtId="169" fontId="13" fillId="0" borderId="0" xfId="2" applyNumberFormat="1" applyFont="1" applyAlignment="1" applyProtection="1">
      <alignment horizontal="center" vertical="center" wrapText="1"/>
      <protection hidden="1"/>
    </xf>
    <xf numFmtId="170" fontId="13" fillId="0" borderId="0" xfId="4" applyNumberFormat="1" applyFont="1" applyFill="1" applyBorder="1" applyAlignment="1" applyProtection="1">
      <alignment horizontal="center" vertical="center" wrapText="1"/>
      <protection hidden="1"/>
    </xf>
    <xf numFmtId="168" fontId="13" fillId="0" borderId="0" xfId="2" applyNumberFormat="1" applyFont="1" applyAlignment="1" applyProtection="1">
      <alignment horizontal="center" vertical="center" wrapText="1"/>
      <protection hidden="1"/>
    </xf>
    <xf numFmtId="167" fontId="13" fillId="0" borderId="0" xfId="4" applyNumberFormat="1" applyFont="1" applyFill="1" applyBorder="1" applyAlignment="1" applyProtection="1">
      <alignment horizontal="center" vertical="center" wrapText="1"/>
      <protection hidden="1"/>
    </xf>
    <xf numFmtId="4" fontId="15" fillId="3" borderId="1" xfId="2" applyNumberFormat="1" applyFont="1" applyFill="1" applyBorder="1" applyAlignment="1" applyProtection="1">
      <alignment horizontal="center" vertical="center" wrapText="1"/>
      <protection locked="0" hidden="1"/>
    </xf>
    <xf numFmtId="4" fontId="5" fillId="3" borderId="1" xfId="2" applyNumberFormat="1" applyFont="1" applyFill="1" applyBorder="1" applyAlignment="1" applyProtection="1">
      <alignment horizontal="center" vertical="center" wrapText="1"/>
      <protection locked="0" hidden="1"/>
    </xf>
    <xf numFmtId="173" fontId="5" fillId="3" borderId="1" xfId="3" applyNumberFormat="1" applyFont="1" applyFill="1" applyBorder="1" applyAlignment="1" applyProtection="1">
      <alignment horizontal="center" vertical="center" wrapText="1"/>
      <protection locked="0" hidden="1"/>
    </xf>
    <xf numFmtId="1" fontId="5" fillId="3" borderId="1" xfId="2" applyNumberFormat="1" applyFont="1" applyFill="1" applyBorder="1" applyAlignment="1" applyProtection="1">
      <alignment horizontal="center" vertical="center" wrapText="1"/>
      <protection locked="0" hidden="1"/>
    </xf>
    <xf numFmtId="169" fontId="5" fillId="3" borderId="1" xfId="2" applyNumberFormat="1" applyFont="1" applyFill="1" applyBorder="1" applyAlignment="1" applyProtection="1">
      <alignment horizontal="center" vertical="center" wrapText="1"/>
      <protection locked="0" hidden="1"/>
    </xf>
    <xf numFmtId="2" fontId="12" fillId="3" borderId="1" xfId="2" applyNumberFormat="1" applyFont="1" applyFill="1" applyBorder="1" applyAlignment="1" applyProtection="1">
      <alignment horizontal="center" vertical="center" textRotation="90" wrapText="1"/>
      <protection hidden="1"/>
    </xf>
    <xf numFmtId="2" fontId="5" fillId="2" borderId="1" xfId="2" applyNumberFormat="1" applyFont="1" applyFill="1" applyBorder="1" applyAlignment="1" applyProtection="1">
      <alignment horizontal="center" textRotation="90" wrapText="1"/>
      <protection hidden="1"/>
    </xf>
    <xf numFmtId="0" fontId="5" fillId="2" borderId="9" xfId="0" applyFont="1" applyFill="1" applyBorder="1" applyAlignment="1" applyProtection="1">
      <alignment horizontal="center" vertical="center" wrapText="1"/>
      <protection hidden="1"/>
    </xf>
    <xf numFmtId="0" fontId="5" fillId="2" borderId="0" xfId="0" applyFont="1" applyFill="1" applyAlignment="1" applyProtection="1">
      <alignment horizontal="left" vertical="center" wrapText="1"/>
      <protection hidden="1"/>
    </xf>
    <xf numFmtId="0" fontId="5" fillId="2" borderId="5" xfId="0" applyFont="1" applyFill="1" applyBorder="1" applyAlignment="1" applyProtection="1">
      <alignment horizontal="center" vertical="center" wrapText="1"/>
      <protection hidden="1"/>
    </xf>
    <xf numFmtId="0" fontId="5" fillId="2" borderId="6" xfId="0" applyFont="1" applyFill="1" applyBorder="1" applyAlignment="1" applyProtection="1">
      <alignment horizontal="center" vertical="center" wrapText="1"/>
      <protection hidden="1"/>
    </xf>
    <xf numFmtId="0" fontId="5" fillId="2" borderId="7" xfId="0" applyFont="1" applyFill="1" applyBorder="1" applyAlignment="1" applyProtection="1">
      <alignment horizontal="center" vertical="center" wrapText="1"/>
      <protection hidden="1"/>
    </xf>
    <xf numFmtId="0" fontId="5" fillId="3" borderId="1" xfId="2" applyFont="1" applyFill="1" applyBorder="1" applyAlignment="1" applyProtection="1">
      <alignment horizontal="center" vertical="center" textRotation="90" wrapText="1"/>
      <protection locked="0" hidden="1"/>
    </xf>
    <xf numFmtId="0" fontId="5" fillId="2" borderId="2" xfId="0" applyFont="1" applyFill="1" applyBorder="1" applyAlignment="1" applyProtection="1">
      <alignment horizontal="center" vertical="center" wrapText="1"/>
      <protection hidden="1"/>
    </xf>
    <xf numFmtId="0" fontId="5" fillId="2" borderId="3" xfId="0" applyFont="1" applyFill="1" applyBorder="1" applyAlignment="1" applyProtection="1">
      <alignment horizontal="center" vertical="center" wrapText="1"/>
      <protection hidden="1"/>
    </xf>
    <xf numFmtId="0" fontId="5" fillId="2" borderId="4" xfId="0" applyFont="1" applyFill="1" applyBorder="1" applyAlignment="1" applyProtection="1">
      <alignment horizontal="center" vertical="center" wrapText="1"/>
      <protection hidden="1"/>
    </xf>
    <xf numFmtId="0" fontId="5" fillId="2" borderId="1" xfId="2" applyFont="1" applyFill="1" applyBorder="1" applyAlignment="1" applyProtection="1">
      <alignment horizontal="center" vertical="center" wrapText="1"/>
      <protection hidden="1"/>
    </xf>
    <xf numFmtId="2" fontId="7" fillId="2" borderId="1" xfId="2" applyNumberFormat="1" applyFont="1" applyFill="1" applyBorder="1" applyAlignment="1" applyProtection="1">
      <alignment horizontal="center" textRotation="90" wrapText="1"/>
      <protection hidden="1"/>
    </xf>
    <xf numFmtId="0" fontId="5" fillId="2" borderId="8" xfId="0" applyFont="1" applyFill="1" applyBorder="1" applyAlignment="1" applyProtection="1">
      <alignment horizontal="center" vertical="center" wrapText="1"/>
      <protection hidden="1"/>
    </xf>
    <xf numFmtId="0" fontId="5" fillId="3" borderId="1" xfId="0" applyFont="1" applyFill="1" applyBorder="1" applyAlignment="1" applyProtection="1">
      <alignment horizontal="center" vertical="center" textRotation="90" wrapText="1"/>
      <protection locked="0" hidden="1"/>
    </xf>
    <xf numFmtId="0" fontId="5" fillId="0" borderId="0" xfId="2" applyFont="1" applyAlignment="1" applyProtection="1">
      <alignment horizontal="center" vertical="center" wrapText="1"/>
      <protection hidden="1"/>
    </xf>
    <xf numFmtId="2" fontId="5" fillId="2" borderId="1" xfId="0" applyNumberFormat="1" applyFont="1" applyFill="1" applyBorder="1" applyAlignment="1" applyProtection="1">
      <alignment horizontal="center" textRotation="90" wrapText="1"/>
      <protection hidden="1"/>
    </xf>
  </cellXfs>
  <cellStyles count="6">
    <cellStyle name="Açıklama Metni" xfId="1" builtinId="53" customBuiltin="1"/>
    <cellStyle name="Normal" xfId="0" builtinId="0"/>
    <cellStyle name="Normal 2" xfId="2" xr:uid="{00000000-0005-0000-0000-000002000000}"/>
    <cellStyle name="Normal 2 2" xfId="3" xr:uid="{00000000-0005-0000-0000-000003000000}"/>
    <cellStyle name="Virgül 2" xfId="5" xr:uid="{00000000-0005-0000-0000-000004000000}"/>
    <cellStyle name="Yüzde 2" xfId="4" xr:uid="{00000000-0005-0000-0000-000005000000}"/>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FE699"/>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5E0B4"/>
      <rgbColor rgb="FFFFFF99"/>
      <rgbColor rgb="FF99CCFF"/>
      <rgbColor rgb="FFFF99CC"/>
      <rgbColor rgb="FFCC99FF"/>
      <rgbColor rgb="FFF8CBAD"/>
      <rgbColor rgb="FF3366FF"/>
      <rgbColor rgb="FF33CCCC"/>
      <rgbColor rgb="FF99CC00"/>
      <rgbColor rgb="FFFFCC00"/>
      <rgbColor rgb="FFFF9900"/>
      <rgbColor rgb="FFFF3333"/>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8E1B4"/>
      <color rgb="FFDAEEF3"/>
      <color rgb="FF003300"/>
      <color rgb="FF9933FF"/>
      <color rgb="FFAAD7E1"/>
      <color rgb="FFAAD7DC"/>
      <color rgb="FFAAD7E6"/>
      <color rgb="FFAACDE6"/>
      <color rgb="FFAFCDE6"/>
      <color rgb="FFAFE1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821142851852943"/>
          <c:y val="1.6407513119655142E-2"/>
          <c:w val="0.22938183964581099"/>
          <c:h val="0.96718497376068968"/>
        </c:manualLayout>
      </c:layout>
      <c:barChart>
        <c:barDir val="bar"/>
        <c:grouping val="clustered"/>
        <c:varyColors val="0"/>
        <c:ser>
          <c:idx val="0"/>
          <c:order val="0"/>
          <c:spPr>
            <a:solidFill>
              <a:schemeClr val="tx1"/>
            </a:solidFill>
            <a:ln>
              <a:noFill/>
            </a:ln>
            <a:effectLst/>
          </c:spPr>
          <c:invertIfNegative val="0"/>
          <c:dPt>
            <c:idx val="10"/>
            <c:invertIfNegative val="0"/>
            <c:bubble3D val="0"/>
            <c:spPr>
              <a:solidFill>
                <a:schemeClr val="tx1"/>
              </a:solidFill>
              <a:ln>
                <a:noFill/>
              </a:ln>
              <a:effectLst/>
            </c:spPr>
            <c:extLst>
              <c:ext xmlns:c16="http://schemas.microsoft.com/office/drawing/2014/chart" uri="{C3380CC4-5D6E-409C-BE32-E72D297353CC}">
                <c16:uniqueId val="{00000035-7CFE-44BF-A422-9711557B250B}"/>
              </c:ext>
            </c:extLst>
          </c:dPt>
          <c:dPt>
            <c:idx val="11"/>
            <c:invertIfNegative val="0"/>
            <c:bubble3D val="0"/>
            <c:spPr>
              <a:solidFill>
                <a:srgbClr val="C00000"/>
              </a:solidFill>
              <a:ln>
                <a:noFill/>
              </a:ln>
              <a:effectLst/>
            </c:spPr>
            <c:extLst>
              <c:ext xmlns:c16="http://schemas.microsoft.com/office/drawing/2014/chart" uri="{C3380CC4-5D6E-409C-BE32-E72D297353CC}">
                <c16:uniqueId val="{00000027-15C5-4CF9-A126-8061EA1D968F}"/>
              </c:ext>
            </c:extLst>
          </c:dPt>
          <c:dPt>
            <c:idx val="12"/>
            <c:invertIfNegative val="0"/>
            <c:bubble3D val="0"/>
            <c:spPr>
              <a:solidFill>
                <a:srgbClr val="C00000"/>
              </a:solidFill>
              <a:ln>
                <a:noFill/>
              </a:ln>
              <a:effectLst/>
            </c:spPr>
            <c:extLst>
              <c:ext xmlns:c16="http://schemas.microsoft.com/office/drawing/2014/chart" uri="{C3380CC4-5D6E-409C-BE32-E72D297353CC}">
                <c16:uniqueId val="{00000028-15C5-4CF9-A126-8061EA1D968F}"/>
              </c:ext>
            </c:extLst>
          </c:dPt>
          <c:dPt>
            <c:idx val="13"/>
            <c:invertIfNegative val="0"/>
            <c:bubble3D val="0"/>
            <c:spPr>
              <a:solidFill>
                <a:srgbClr val="C00000"/>
              </a:solidFill>
              <a:ln>
                <a:noFill/>
              </a:ln>
              <a:effectLst/>
            </c:spPr>
            <c:extLst>
              <c:ext xmlns:c16="http://schemas.microsoft.com/office/drawing/2014/chart" uri="{C3380CC4-5D6E-409C-BE32-E72D297353CC}">
                <c16:uniqueId val="{00000029-15C5-4CF9-A126-8061EA1D968F}"/>
              </c:ext>
            </c:extLst>
          </c:dPt>
          <c:dPt>
            <c:idx val="14"/>
            <c:invertIfNegative val="0"/>
            <c:bubble3D val="0"/>
            <c:spPr>
              <a:solidFill>
                <a:srgbClr val="C00000"/>
              </a:solidFill>
              <a:ln>
                <a:noFill/>
              </a:ln>
              <a:effectLst/>
            </c:spPr>
            <c:extLst>
              <c:ext xmlns:c16="http://schemas.microsoft.com/office/drawing/2014/chart" uri="{C3380CC4-5D6E-409C-BE32-E72D297353CC}">
                <c16:uniqueId val="{0000002A-15C5-4CF9-A126-8061EA1D968F}"/>
              </c:ext>
            </c:extLst>
          </c:dPt>
          <c:dPt>
            <c:idx val="15"/>
            <c:invertIfNegative val="0"/>
            <c:bubble3D val="0"/>
            <c:spPr>
              <a:solidFill>
                <a:srgbClr val="C00000"/>
              </a:solidFill>
              <a:ln>
                <a:noFill/>
              </a:ln>
              <a:effectLst/>
            </c:spPr>
            <c:extLst>
              <c:ext xmlns:c16="http://schemas.microsoft.com/office/drawing/2014/chart" uri="{C3380CC4-5D6E-409C-BE32-E72D297353CC}">
                <c16:uniqueId val="{0000002B-15C5-4CF9-A126-8061EA1D968F}"/>
              </c:ext>
            </c:extLst>
          </c:dPt>
          <c:dPt>
            <c:idx val="16"/>
            <c:invertIfNegative val="0"/>
            <c:bubble3D val="0"/>
            <c:spPr>
              <a:solidFill>
                <a:srgbClr val="C00000"/>
              </a:solidFill>
              <a:ln>
                <a:noFill/>
              </a:ln>
              <a:effectLst/>
            </c:spPr>
            <c:extLst>
              <c:ext xmlns:c16="http://schemas.microsoft.com/office/drawing/2014/chart" uri="{C3380CC4-5D6E-409C-BE32-E72D297353CC}">
                <c16:uniqueId val="{0000002C-15C5-4CF9-A126-8061EA1D968F}"/>
              </c:ext>
            </c:extLst>
          </c:dPt>
          <c:dPt>
            <c:idx val="17"/>
            <c:invertIfNegative val="0"/>
            <c:bubble3D val="0"/>
            <c:spPr>
              <a:solidFill>
                <a:srgbClr val="C00000"/>
              </a:solidFill>
              <a:ln>
                <a:noFill/>
              </a:ln>
              <a:effectLst/>
            </c:spPr>
            <c:extLst>
              <c:ext xmlns:c16="http://schemas.microsoft.com/office/drawing/2014/chart" uri="{C3380CC4-5D6E-409C-BE32-E72D297353CC}">
                <c16:uniqueId val="{0000002D-15C5-4CF9-A126-8061EA1D968F}"/>
              </c:ext>
            </c:extLst>
          </c:dPt>
          <c:dPt>
            <c:idx val="18"/>
            <c:invertIfNegative val="0"/>
            <c:bubble3D val="0"/>
            <c:spPr>
              <a:solidFill>
                <a:schemeClr val="bg1">
                  <a:lumMod val="50000"/>
                </a:schemeClr>
              </a:solidFill>
              <a:ln>
                <a:noFill/>
              </a:ln>
              <a:effectLst/>
            </c:spPr>
            <c:extLst>
              <c:ext xmlns:c16="http://schemas.microsoft.com/office/drawing/2014/chart" uri="{C3380CC4-5D6E-409C-BE32-E72D297353CC}">
                <c16:uniqueId val="{00000036-B11B-4591-90FE-4D23434FBFCF}"/>
              </c:ext>
            </c:extLst>
          </c:dPt>
          <c:dPt>
            <c:idx val="20"/>
            <c:invertIfNegative val="0"/>
            <c:bubble3D val="0"/>
            <c:spPr>
              <a:solidFill>
                <a:schemeClr val="tx1"/>
              </a:solidFill>
              <a:ln>
                <a:noFill/>
              </a:ln>
              <a:effectLst/>
            </c:spPr>
            <c:extLst>
              <c:ext xmlns:c16="http://schemas.microsoft.com/office/drawing/2014/chart" uri="{C3380CC4-5D6E-409C-BE32-E72D297353CC}">
                <c16:uniqueId val="{0000000F-45CA-4018-8A5C-C7D91A61B798}"/>
              </c:ext>
            </c:extLst>
          </c:dPt>
          <c:dPt>
            <c:idx val="21"/>
            <c:invertIfNegative val="0"/>
            <c:bubble3D val="0"/>
            <c:spPr>
              <a:solidFill>
                <a:schemeClr val="tx1"/>
              </a:solidFill>
              <a:ln>
                <a:noFill/>
              </a:ln>
              <a:effectLst/>
            </c:spPr>
            <c:extLst>
              <c:ext xmlns:c16="http://schemas.microsoft.com/office/drawing/2014/chart" uri="{C3380CC4-5D6E-409C-BE32-E72D297353CC}">
                <c16:uniqueId val="{0000000E-45CA-4018-8A5C-C7D91A61B798}"/>
              </c:ext>
            </c:extLst>
          </c:dPt>
          <c:dPt>
            <c:idx val="22"/>
            <c:invertIfNegative val="0"/>
            <c:bubble3D val="0"/>
            <c:spPr>
              <a:solidFill>
                <a:schemeClr val="tx1"/>
              </a:solidFill>
              <a:ln>
                <a:noFill/>
              </a:ln>
              <a:effectLst/>
            </c:spPr>
            <c:extLst>
              <c:ext xmlns:c16="http://schemas.microsoft.com/office/drawing/2014/chart" uri="{C3380CC4-5D6E-409C-BE32-E72D297353CC}">
                <c16:uniqueId val="{0000000D-45CA-4018-8A5C-C7D91A61B798}"/>
              </c:ext>
            </c:extLst>
          </c:dPt>
          <c:dPt>
            <c:idx val="23"/>
            <c:invertIfNegative val="0"/>
            <c:bubble3D val="0"/>
            <c:spPr>
              <a:solidFill>
                <a:schemeClr val="tx1"/>
              </a:solidFill>
              <a:ln>
                <a:noFill/>
              </a:ln>
              <a:effectLst/>
            </c:spPr>
            <c:extLst>
              <c:ext xmlns:c16="http://schemas.microsoft.com/office/drawing/2014/chart" uri="{C3380CC4-5D6E-409C-BE32-E72D297353CC}">
                <c16:uniqueId val="{00000015-E42F-428B-802F-3B6F8ADE344D}"/>
              </c:ext>
            </c:extLst>
          </c:dPt>
          <c:dPt>
            <c:idx val="24"/>
            <c:invertIfNegative val="0"/>
            <c:bubble3D val="0"/>
            <c:spPr>
              <a:solidFill>
                <a:schemeClr val="tx1"/>
              </a:solidFill>
              <a:ln>
                <a:noFill/>
              </a:ln>
              <a:effectLst/>
            </c:spPr>
            <c:extLst>
              <c:ext xmlns:c16="http://schemas.microsoft.com/office/drawing/2014/chart" uri="{C3380CC4-5D6E-409C-BE32-E72D297353CC}">
                <c16:uniqueId val="{0000000A-45CA-4018-8A5C-C7D91A61B798}"/>
              </c:ext>
            </c:extLst>
          </c:dPt>
          <c:dPt>
            <c:idx val="25"/>
            <c:invertIfNegative val="0"/>
            <c:bubble3D val="0"/>
            <c:spPr>
              <a:solidFill>
                <a:schemeClr val="tx1"/>
              </a:solidFill>
              <a:ln>
                <a:noFill/>
              </a:ln>
              <a:effectLst/>
            </c:spPr>
            <c:extLst>
              <c:ext xmlns:c16="http://schemas.microsoft.com/office/drawing/2014/chart" uri="{C3380CC4-5D6E-409C-BE32-E72D297353CC}">
                <c16:uniqueId val="{00000009-45CA-4018-8A5C-C7D91A61B798}"/>
              </c:ext>
            </c:extLst>
          </c:dPt>
          <c:dPt>
            <c:idx val="26"/>
            <c:invertIfNegative val="0"/>
            <c:bubble3D val="0"/>
            <c:spPr>
              <a:solidFill>
                <a:srgbClr val="C00000"/>
              </a:solidFill>
              <a:ln>
                <a:noFill/>
              </a:ln>
              <a:effectLst/>
            </c:spPr>
            <c:extLst>
              <c:ext xmlns:c16="http://schemas.microsoft.com/office/drawing/2014/chart" uri="{C3380CC4-5D6E-409C-BE32-E72D297353CC}">
                <c16:uniqueId val="{0000000B-45CA-4018-8A5C-C7D91A61B798}"/>
              </c:ext>
            </c:extLst>
          </c:dPt>
          <c:dPt>
            <c:idx val="27"/>
            <c:invertIfNegative val="0"/>
            <c:bubble3D val="0"/>
            <c:spPr>
              <a:solidFill>
                <a:srgbClr val="C00000"/>
              </a:solidFill>
              <a:ln>
                <a:noFill/>
              </a:ln>
              <a:effectLst/>
            </c:spPr>
            <c:extLst>
              <c:ext xmlns:c16="http://schemas.microsoft.com/office/drawing/2014/chart" uri="{C3380CC4-5D6E-409C-BE32-E72D297353CC}">
                <c16:uniqueId val="{00000008-45CA-4018-8A5C-C7D91A61B798}"/>
              </c:ext>
            </c:extLst>
          </c:dPt>
          <c:dPt>
            <c:idx val="28"/>
            <c:invertIfNegative val="0"/>
            <c:bubble3D val="0"/>
            <c:spPr>
              <a:solidFill>
                <a:srgbClr val="C00000"/>
              </a:solidFill>
              <a:ln>
                <a:noFill/>
              </a:ln>
              <a:effectLst/>
            </c:spPr>
            <c:extLst>
              <c:ext xmlns:c16="http://schemas.microsoft.com/office/drawing/2014/chart" uri="{C3380CC4-5D6E-409C-BE32-E72D297353CC}">
                <c16:uniqueId val="{0000000C-45CA-4018-8A5C-C7D91A61B798}"/>
              </c:ext>
            </c:extLst>
          </c:dPt>
          <c:dPt>
            <c:idx val="29"/>
            <c:invertIfNegative val="0"/>
            <c:bubble3D val="0"/>
            <c:spPr>
              <a:solidFill>
                <a:srgbClr val="C00000"/>
              </a:solidFill>
              <a:ln>
                <a:noFill/>
              </a:ln>
              <a:effectLst/>
            </c:spPr>
            <c:extLst>
              <c:ext xmlns:c16="http://schemas.microsoft.com/office/drawing/2014/chart" uri="{C3380CC4-5D6E-409C-BE32-E72D297353CC}">
                <c16:uniqueId val="{00000007-45CA-4018-8A5C-C7D91A61B798}"/>
              </c:ext>
            </c:extLst>
          </c:dPt>
          <c:dPt>
            <c:idx val="30"/>
            <c:invertIfNegative val="0"/>
            <c:bubble3D val="0"/>
            <c:spPr>
              <a:solidFill>
                <a:srgbClr val="C00000"/>
              </a:solidFill>
              <a:ln>
                <a:noFill/>
              </a:ln>
              <a:effectLst/>
            </c:spPr>
            <c:extLst>
              <c:ext xmlns:c16="http://schemas.microsoft.com/office/drawing/2014/chart" uri="{C3380CC4-5D6E-409C-BE32-E72D297353CC}">
                <c16:uniqueId val="{00000013-D68E-4191-8C49-7635405731D1}"/>
              </c:ext>
            </c:extLst>
          </c:dPt>
          <c:dPt>
            <c:idx val="31"/>
            <c:invertIfNegative val="0"/>
            <c:bubble3D val="0"/>
            <c:spPr>
              <a:solidFill>
                <a:srgbClr val="C00000"/>
              </a:solidFill>
              <a:ln>
                <a:noFill/>
              </a:ln>
              <a:effectLst/>
            </c:spPr>
            <c:extLst>
              <c:ext xmlns:c16="http://schemas.microsoft.com/office/drawing/2014/chart" uri="{C3380CC4-5D6E-409C-BE32-E72D297353CC}">
                <c16:uniqueId val="{00000017-D7E6-45C6-BD44-9DAF6A5B6F82}"/>
              </c:ext>
            </c:extLst>
          </c:dPt>
          <c:dPt>
            <c:idx val="32"/>
            <c:invertIfNegative val="0"/>
            <c:bubble3D val="0"/>
            <c:spPr>
              <a:solidFill>
                <a:srgbClr val="C00000"/>
              </a:solidFill>
              <a:ln>
                <a:noFill/>
              </a:ln>
              <a:effectLst/>
            </c:spPr>
            <c:extLst>
              <c:ext xmlns:c16="http://schemas.microsoft.com/office/drawing/2014/chart" uri="{C3380CC4-5D6E-409C-BE32-E72D297353CC}">
                <c16:uniqueId val="{00000018-D7E6-45C6-BD44-9DAF6A5B6F82}"/>
              </c:ext>
            </c:extLst>
          </c:dPt>
          <c:dPt>
            <c:idx val="33"/>
            <c:invertIfNegative val="0"/>
            <c:bubble3D val="0"/>
            <c:spPr>
              <a:solidFill>
                <a:srgbClr val="C00000"/>
              </a:solidFill>
              <a:ln>
                <a:noFill/>
              </a:ln>
              <a:effectLst/>
            </c:spPr>
            <c:extLst>
              <c:ext xmlns:c16="http://schemas.microsoft.com/office/drawing/2014/chart" uri="{C3380CC4-5D6E-409C-BE32-E72D297353CC}">
                <c16:uniqueId val="{0000001D-B20F-4A15-8DC8-56B8EB5F98BA}"/>
              </c:ext>
            </c:extLst>
          </c:dPt>
          <c:dPt>
            <c:idx val="34"/>
            <c:invertIfNegative val="0"/>
            <c:bubble3D val="0"/>
            <c:spPr>
              <a:solidFill>
                <a:srgbClr val="C00000"/>
              </a:solidFill>
              <a:ln>
                <a:noFill/>
              </a:ln>
              <a:effectLst/>
            </c:spPr>
            <c:extLst>
              <c:ext xmlns:c16="http://schemas.microsoft.com/office/drawing/2014/chart" uri="{C3380CC4-5D6E-409C-BE32-E72D297353CC}">
                <c16:uniqueId val="{0000001C-B20F-4A15-8DC8-56B8EB5F98BA}"/>
              </c:ext>
            </c:extLst>
          </c:dPt>
          <c:dPt>
            <c:idx val="35"/>
            <c:invertIfNegative val="0"/>
            <c:bubble3D val="0"/>
            <c:spPr>
              <a:solidFill>
                <a:srgbClr val="C00000"/>
              </a:solidFill>
              <a:ln>
                <a:noFill/>
              </a:ln>
              <a:effectLst/>
            </c:spPr>
            <c:extLst>
              <c:ext xmlns:c16="http://schemas.microsoft.com/office/drawing/2014/chart" uri="{C3380CC4-5D6E-409C-BE32-E72D297353CC}">
                <c16:uniqueId val="{0000001E-B20F-4A15-8DC8-56B8EB5F98BA}"/>
              </c:ext>
            </c:extLst>
          </c:dPt>
          <c:dPt>
            <c:idx val="36"/>
            <c:invertIfNegative val="0"/>
            <c:bubble3D val="0"/>
            <c:spPr>
              <a:solidFill>
                <a:srgbClr val="C00000"/>
              </a:solidFill>
              <a:ln>
                <a:noFill/>
              </a:ln>
              <a:effectLst/>
            </c:spPr>
            <c:extLst>
              <c:ext xmlns:c16="http://schemas.microsoft.com/office/drawing/2014/chart" uri="{C3380CC4-5D6E-409C-BE32-E72D297353CC}">
                <c16:uniqueId val="{0000001B-B20F-4A15-8DC8-56B8EB5F98BA}"/>
              </c:ext>
            </c:extLst>
          </c:dPt>
          <c:dPt>
            <c:idx val="37"/>
            <c:invertIfNegative val="0"/>
            <c:bubble3D val="0"/>
            <c:spPr>
              <a:solidFill>
                <a:srgbClr val="C00000"/>
              </a:solidFill>
              <a:ln>
                <a:noFill/>
              </a:ln>
              <a:effectLst/>
            </c:spPr>
            <c:extLst>
              <c:ext xmlns:c16="http://schemas.microsoft.com/office/drawing/2014/chart" uri="{C3380CC4-5D6E-409C-BE32-E72D297353CC}">
                <c16:uniqueId val="{00000023-8CC3-4E54-9960-0F980A27CEC9}"/>
              </c:ext>
            </c:extLst>
          </c:dPt>
          <c:dPt>
            <c:idx val="38"/>
            <c:invertIfNegative val="0"/>
            <c:bubble3D val="0"/>
            <c:spPr>
              <a:solidFill>
                <a:schemeClr val="bg1">
                  <a:lumMod val="50000"/>
                </a:schemeClr>
              </a:solidFill>
              <a:ln>
                <a:noFill/>
              </a:ln>
              <a:effectLst/>
            </c:spPr>
            <c:extLst>
              <c:ext xmlns:c16="http://schemas.microsoft.com/office/drawing/2014/chart" uri="{C3380CC4-5D6E-409C-BE32-E72D297353CC}">
                <c16:uniqueId val="{00000024-8CC3-4E54-9960-0F980A27CEC9}"/>
              </c:ext>
            </c:extLst>
          </c:dPt>
          <c:dLbls>
            <c:spPr>
              <a:noFill/>
              <a:ln>
                <a:noFill/>
              </a:ln>
              <a:effectLst/>
            </c:spPr>
            <c:txPr>
              <a:bodyPr rot="0" spcFirstLastPara="1" vertOverflow="ellipsis" vert="horz" wrap="square" anchor="ctr" anchorCtr="1"/>
              <a:lstStyle/>
              <a:p>
                <a:pPr>
                  <a:defRPr sz="1600" b="0" i="0" u="none" strike="noStrike" kern="1200" baseline="0">
                    <a:solidFill>
                      <a:schemeClr val="tx1">
                        <a:lumMod val="75000"/>
                        <a:lumOff val="25000"/>
                      </a:schemeClr>
                    </a:solidFill>
                    <a:latin typeface="+mn-lt"/>
                    <a:ea typeface="+mn-ea"/>
                    <a:cs typeface="+mn-cs"/>
                  </a:defRPr>
                </a:pPr>
                <a:endParaRPr lang="tr-T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'Özet Tablo'!$X$1:$X$18</c:f>
              <c:strCache>
                <c:ptCount val="18"/>
                <c:pt idx="0">
                  <c:v>Normal Çalışma</c:v>
                </c:pt>
                <c:pt idx="1">
                  <c:v>Kıdem Yardımı</c:v>
                </c:pt>
                <c:pt idx="2">
                  <c:v>Fazla Çalışma (% 50)</c:v>
                </c:pt>
                <c:pt idx="3">
                  <c:v>Fazla Sürelerle Çalışma (% 25)</c:v>
                </c:pt>
                <c:pt idx="4">
                  <c:v>Resmi Tatillerde Çalışma (% 100)</c:v>
                </c:pt>
                <c:pt idx="5">
                  <c:v>Gece Çalışma (% 12)</c:v>
                </c:pt>
                <c:pt idx="6">
                  <c:v>Yemek Yardımı</c:v>
                </c:pt>
                <c:pt idx="7">
                  <c:v>Ulaşım Yardımı</c:v>
                </c:pt>
                <c:pt idx="8">
                  <c:v>İkramiye Yardımı</c:v>
                </c:pt>
                <c:pt idx="9">
                  <c:v>Sosyal Yardım</c:v>
                </c:pt>
                <c:pt idx="10">
                  <c:v>Nakdi Yardımlar</c:v>
                </c:pt>
                <c:pt idx="11">
                  <c:v>Sendika Üyelik Aidatı Kesintisi</c:v>
                </c:pt>
                <c:pt idx="12">
                  <c:v>BES Kesintisi</c:v>
                </c:pt>
                <c:pt idx="13">
                  <c:v>Damga Vergisi Kesintisi</c:v>
                </c:pt>
                <c:pt idx="14">
                  <c:v>SGK Prim Kesintisi</c:v>
                </c:pt>
                <c:pt idx="15">
                  <c:v>SGK İşsizlik Primi Kesintisi</c:v>
                </c:pt>
                <c:pt idx="16">
                  <c:v>Gelir Vergisi Kesintisi</c:v>
                </c:pt>
                <c:pt idx="17">
                  <c:v>İşveren Maliyeti</c:v>
                </c:pt>
              </c:strCache>
            </c:strRef>
          </c:cat>
          <c:val>
            <c:numRef>
              <c:f>'Özet Tablo'!$Y$1:$Y$18</c:f>
              <c:numCache>
                <c:formatCode>#,##0.00\ "₺"</c:formatCode>
                <c:ptCount val="18"/>
                <c:pt idx="0">
                  <c:v>39455.264229025641</c:v>
                </c:pt>
                <c:pt idx="1">
                  <c:v>0</c:v>
                </c:pt>
                <c:pt idx="2">
                  <c:v>0</c:v>
                </c:pt>
                <c:pt idx="3">
                  <c:v>0</c:v>
                </c:pt>
                <c:pt idx="4">
                  <c:v>0</c:v>
                </c:pt>
                <c:pt idx="5">
                  <c:v>0</c:v>
                </c:pt>
                <c:pt idx="6">
                  <c:v>6000</c:v>
                </c:pt>
                <c:pt idx="7">
                  <c:v>3376.8333333333335</c:v>
                </c:pt>
                <c:pt idx="8">
                  <c:v>13117.401729025647</c:v>
                </c:pt>
                <c:pt idx="9">
                  <c:v>4279.8517731592137</c:v>
                </c:pt>
                <c:pt idx="10">
                  <c:v>0</c:v>
                </c:pt>
                <c:pt idx="11">
                  <c:v>0</c:v>
                </c:pt>
                <c:pt idx="12">
                  <c:v>0</c:v>
                </c:pt>
                <c:pt idx="13">
                  <c:v>456.45673471290701</c:v>
                </c:pt>
                <c:pt idx="14">
                  <c:v>13043.691812886294</c:v>
                </c:pt>
                <c:pt idx="15">
                  <c:v>931.69227234902098</c:v>
                </c:pt>
                <c:pt idx="16">
                  <c:v>13433.902499999998</c:v>
                </c:pt>
                <c:pt idx="17">
                  <c:v>115532.14972866095</c:v>
                </c:pt>
              </c:numCache>
            </c:numRef>
          </c:val>
          <c:extLst>
            <c:ext xmlns:c16="http://schemas.microsoft.com/office/drawing/2014/chart" uri="{C3380CC4-5D6E-409C-BE32-E72D297353CC}">
              <c16:uniqueId val="{00000000-755B-478D-AB69-BF223AA4AC7C}"/>
            </c:ext>
          </c:extLst>
        </c:ser>
        <c:dLbls>
          <c:dLblPos val="outEnd"/>
          <c:showLegendKey val="0"/>
          <c:showVal val="1"/>
          <c:showCatName val="0"/>
          <c:showSerName val="0"/>
          <c:showPercent val="0"/>
          <c:showBubbleSize val="0"/>
        </c:dLbls>
        <c:gapWidth val="182"/>
        <c:axId val="552148752"/>
        <c:axId val="552147112"/>
      </c:barChart>
      <c:catAx>
        <c:axId val="55214875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n-lt"/>
                <a:ea typeface="+mn-ea"/>
                <a:cs typeface="+mn-cs"/>
              </a:defRPr>
            </a:pPr>
            <a:endParaRPr lang="tr-TR"/>
          </a:p>
        </c:txPr>
        <c:crossAx val="552147112"/>
        <c:crosses val="autoZero"/>
        <c:auto val="1"/>
        <c:lblAlgn val="ctr"/>
        <c:lblOffset val="100"/>
        <c:tickMarkSkip val="1"/>
        <c:noMultiLvlLbl val="0"/>
      </c:catAx>
      <c:valAx>
        <c:axId val="552147112"/>
        <c:scaling>
          <c:orientation val="minMax"/>
        </c:scaling>
        <c:delete val="1"/>
        <c:axPos val="t"/>
        <c:numFmt formatCode="#,##0.00\ &quot;₺&quot;" sourceLinked="1"/>
        <c:majorTickMark val="out"/>
        <c:minorTickMark val="none"/>
        <c:tickLblPos val="nextTo"/>
        <c:crossAx val="55214875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85000"/>
      </a:schemeClr>
    </a:solidFill>
    <a:ln w="9525" cap="flat" cmpd="sng" algn="ctr">
      <a:solidFill>
        <a:schemeClr val="tx1">
          <a:lumMod val="15000"/>
          <a:lumOff val="85000"/>
        </a:schemeClr>
      </a:solidFill>
      <a:round/>
    </a:ln>
    <a:effectLst/>
  </c:spPr>
  <c:txPr>
    <a:bodyPr/>
    <a:lstStyle/>
    <a:p>
      <a:pPr>
        <a:defRPr sz="1600"/>
      </a:pPr>
      <a:endParaRPr lang="tr-T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dPt>
            <c:idx val="0"/>
            <c:bubble3D val="0"/>
            <c:explosion val="4"/>
            <c:spPr>
              <a:solidFill>
                <a:schemeClr val="tx1"/>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1-5D9F-40F4-A256-823C9FF01F41}"/>
              </c:ext>
            </c:extLst>
          </c:dPt>
          <c:dPt>
            <c:idx val="1"/>
            <c:bubble3D val="0"/>
            <c:explosion val="5"/>
            <c:spPr>
              <a:solidFill>
                <a:srgbClr val="C00000"/>
              </a:solidFill>
              <a:ln>
                <a:noFill/>
              </a:ln>
              <a:effectLst>
                <a:outerShdw blurRad="317500" algn="ctr" rotWithShape="0">
                  <a:prstClr val="black">
                    <a:alpha val="25000"/>
                  </a:prstClr>
                </a:outerShdw>
              </a:effectLst>
            </c:spPr>
            <c:extLst>
              <c:ext xmlns:c16="http://schemas.microsoft.com/office/drawing/2014/chart" uri="{C3380CC4-5D6E-409C-BE32-E72D297353CC}">
                <c16:uniqueId val="{00000003-5D9F-40F4-A256-823C9FF01F41}"/>
              </c:ext>
            </c:extLst>
          </c:dPt>
          <c:dLbls>
            <c:dLbl>
              <c:idx val="0"/>
              <c:layout>
                <c:manualLayout>
                  <c:x val="0"/>
                  <c:y val="-0.2727330235099843"/>
                </c:manualLayout>
              </c:layout>
              <c:tx>
                <c:rich>
                  <a:bodyPr rot="0" spcFirstLastPara="1" vertOverflow="ellipsis" vert="horz" wrap="square" lIns="0" tIns="0" rIns="0" bIns="0" anchor="ctr" anchorCtr="0">
                    <a:noAutofit/>
                  </a:bodyPr>
                  <a:lstStyle/>
                  <a:p>
                    <a:pPr lvl="1" algn="ctr" rtl="0">
                      <a:defRPr sz="2000" b="1" i="0" u="none" strike="noStrike" kern="1200" baseline="0">
                        <a:solidFill>
                          <a:sysClr val="windowText" lastClr="000000"/>
                        </a:solidFill>
                        <a:latin typeface="+mn-lt"/>
                        <a:ea typeface="+mn-ea"/>
                        <a:cs typeface="+mn-cs"/>
                      </a:defRPr>
                    </a:pPr>
                    <a:r>
                      <a:rPr lang="en-US" sz="2000" i="0" u="sng" baseline="0">
                        <a:solidFill>
                          <a:sysClr val="windowText" lastClr="000000"/>
                        </a:solidFill>
                      </a:rPr>
                      <a:t>Kazançlar</a:t>
                    </a:r>
                  </a:p>
                  <a:p>
                    <a:pPr lvl="1" algn="ctr" rtl="0">
                      <a:defRPr sz="2000" b="1" i="0" u="none" strike="noStrike" kern="1200" baseline="0">
                        <a:solidFill>
                          <a:sysClr val="windowText" lastClr="000000"/>
                        </a:solidFill>
                        <a:latin typeface="+mn-lt"/>
                        <a:ea typeface="+mn-ea"/>
                        <a:cs typeface="+mn-cs"/>
                      </a:defRPr>
                    </a:pPr>
                    <a:fld id="{18CB9E8E-A975-43C0-A56F-BEEBC923E687}" type="VALUE">
                      <a:rPr lang="en-US" sz="2000" i="0">
                        <a:solidFill>
                          <a:sysClr val="windowText" lastClr="000000"/>
                        </a:solidFill>
                      </a:rPr>
                      <a:pPr lvl="1" algn="ctr" rtl="0">
                        <a:defRPr sz="2000" b="1" i="0" u="none" strike="noStrike" kern="1200" baseline="0">
                          <a:solidFill>
                            <a:sysClr val="windowText" lastClr="000000"/>
                          </a:solidFill>
                          <a:latin typeface="+mn-lt"/>
                          <a:ea typeface="+mn-ea"/>
                          <a:cs typeface="+mn-cs"/>
                        </a:defRPr>
                      </a:pPr>
                      <a:t>[DEĞER]</a:t>
                    </a:fld>
                    <a:endParaRPr lang="en-US" sz="2000" i="0" baseline="0">
                      <a:solidFill>
                        <a:sysClr val="windowText" lastClr="000000"/>
                      </a:solidFill>
                    </a:endParaRPr>
                  </a:p>
                  <a:p>
                    <a:pPr lvl="1" algn="ctr" rtl="0">
                      <a:defRPr sz="2000" b="1" i="0" u="none" strike="noStrike" kern="1200" baseline="0">
                        <a:solidFill>
                          <a:sysClr val="windowText" lastClr="000000"/>
                        </a:solidFill>
                        <a:latin typeface="+mn-lt"/>
                        <a:ea typeface="+mn-ea"/>
                        <a:cs typeface="+mn-cs"/>
                      </a:defRPr>
                    </a:pPr>
                    <a:fld id="{ED1D6583-AC77-4CB8-8AE1-8BB6A6F10BE5}" type="PERCENTAGE">
                      <a:rPr lang="en-US" sz="2000" i="0">
                        <a:solidFill>
                          <a:sysClr val="windowText" lastClr="000000"/>
                        </a:solidFill>
                      </a:rPr>
                      <a:pPr lvl="1" algn="ctr" rtl="0">
                        <a:defRPr sz="2000" b="1" i="0" u="none" strike="noStrike" kern="1200" baseline="0">
                          <a:solidFill>
                            <a:sysClr val="windowText" lastClr="000000"/>
                          </a:solidFill>
                          <a:latin typeface="+mn-lt"/>
                          <a:ea typeface="+mn-ea"/>
                          <a:cs typeface="+mn-cs"/>
                        </a:defRPr>
                      </a:pPr>
                      <a:t>[YÜZDE]</a:t>
                    </a:fld>
                    <a:endParaRPr lang="tr-TR"/>
                  </a:p>
                </c:rich>
              </c:tx>
              <c:numFmt formatCode="%\ 0.00" sourceLinked="0"/>
              <c:spPr>
                <a:noFill/>
                <a:ln>
                  <a:noFill/>
                </a:ln>
                <a:effectLst/>
              </c:spPr>
              <c:dLblPos val="bestFit"/>
              <c:showLegendKey val="0"/>
              <c:showVal val="0"/>
              <c:showCatName val="0"/>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c15:spPr>
                  <c15:layout>
                    <c:manualLayout>
                      <c:w val="1"/>
                      <c:h val="0.2"/>
                    </c:manualLayout>
                  </c15:layout>
                  <c15:dlblFieldTable/>
                  <c15:showDataLabelsRange val="0"/>
                </c:ext>
                <c:ext xmlns:c16="http://schemas.microsoft.com/office/drawing/2014/chart" uri="{C3380CC4-5D6E-409C-BE32-E72D297353CC}">
                  <c16:uniqueId val="{00000001-5D9F-40F4-A256-823C9FF01F41}"/>
                </c:ext>
              </c:extLst>
            </c:dLbl>
            <c:dLbl>
              <c:idx val="1"/>
              <c:layout>
                <c:manualLayout>
                  <c:x val="0"/>
                  <c:y val="0.28660887761598208"/>
                </c:manualLayout>
              </c:layout>
              <c:tx>
                <c:rich>
                  <a:bodyPr rot="0" spcFirstLastPara="1" vertOverflow="ellipsis" vert="horz" wrap="square" lIns="0" tIns="0" rIns="0" bIns="0" anchor="t" anchorCtr="0">
                    <a:noAutofit/>
                  </a:bodyPr>
                  <a:lstStyle/>
                  <a:p>
                    <a:pPr lvl="1" algn="ctr" rtl="0">
                      <a:defRPr sz="2000" b="1" i="0" u="none" strike="noStrike" kern="1200" baseline="0">
                        <a:solidFill>
                          <a:srgbClr val="C00000"/>
                        </a:solidFill>
                        <a:latin typeface="+mn-lt"/>
                        <a:ea typeface="+mn-ea"/>
                        <a:cs typeface="+mn-cs"/>
                      </a:defRPr>
                    </a:pPr>
                    <a:r>
                      <a:rPr lang="en-US" sz="2000" b="1" i="0" u="sng" strike="noStrike" baseline="0">
                        <a:solidFill>
                          <a:srgbClr val="C00000"/>
                        </a:solidFill>
                      </a:rPr>
                      <a:t>Kesintiler</a:t>
                    </a:r>
                    <a:br>
                      <a:rPr lang="en-US" sz="2000" b="1" i="0" u="none" strike="noStrike" baseline="0">
                        <a:solidFill>
                          <a:srgbClr val="C00000"/>
                        </a:solidFill>
                      </a:rPr>
                    </a:br>
                    <a:fld id="{D48269F3-90DB-4B96-9E27-A88140910F88}" type="VALUE">
                      <a:rPr lang="en-US" sz="2000">
                        <a:solidFill>
                          <a:srgbClr val="C00000"/>
                        </a:solidFill>
                      </a:rPr>
                      <a:pPr lvl="1" algn="ctr" rtl="0">
                        <a:defRPr sz="2000" b="1" i="0" u="none" strike="noStrike" kern="1200" baseline="0">
                          <a:solidFill>
                            <a:srgbClr val="C00000"/>
                          </a:solidFill>
                          <a:latin typeface="+mn-lt"/>
                          <a:ea typeface="+mn-ea"/>
                          <a:cs typeface="+mn-cs"/>
                        </a:defRPr>
                      </a:pPr>
                      <a:t>[DEĞER]</a:t>
                    </a:fld>
                    <a:endParaRPr lang="en-US" sz="2000" baseline="0">
                      <a:solidFill>
                        <a:srgbClr val="C00000"/>
                      </a:solidFill>
                    </a:endParaRPr>
                  </a:p>
                  <a:p>
                    <a:pPr lvl="1" algn="ctr" rtl="0">
                      <a:defRPr sz="2000" b="1" i="0" u="none" strike="noStrike" kern="1200" baseline="0">
                        <a:solidFill>
                          <a:srgbClr val="C00000"/>
                        </a:solidFill>
                        <a:latin typeface="+mn-lt"/>
                        <a:ea typeface="+mn-ea"/>
                        <a:cs typeface="+mn-cs"/>
                      </a:defRPr>
                    </a:pPr>
                    <a:fld id="{C4F91586-97B1-4B5B-B426-9B699746C01D}" type="PERCENTAGE">
                      <a:rPr lang="en-US" sz="2000">
                        <a:solidFill>
                          <a:srgbClr val="C00000"/>
                        </a:solidFill>
                      </a:rPr>
                      <a:pPr lvl="1" algn="ctr" rtl="0">
                        <a:defRPr sz="2000" b="1" i="0" u="none" strike="noStrike" kern="1200" baseline="0">
                          <a:solidFill>
                            <a:srgbClr val="C00000"/>
                          </a:solidFill>
                          <a:latin typeface="+mn-lt"/>
                          <a:ea typeface="+mn-ea"/>
                          <a:cs typeface="+mn-cs"/>
                        </a:defRPr>
                      </a:pPr>
                      <a:t>[YÜZDE]</a:t>
                    </a:fld>
                    <a:endParaRPr lang="tr-TR"/>
                  </a:p>
                </c:rich>
              </c:tx>
              <c:numFmt formatCode="%\ 0.00" sourceLinked="0"/>
              <c:spPr>
                <a:noFill/>
                <a:ln>
                  <a:noFill/>
                </a:ln>
                <a:effectLst/>
              </c:spPr>
              <c:dLblPos val="bestFit"/>
              <c:showLegendKey val="0"/>
              <c:showVal val="0"/>
              <c:showCatName val="0"/>
              <c:showSerName val="0"/>
              <c:showPercent val="1"/>
              <c:showBubbleSize val="0"/>
              <c:separator>
</c:separator>
              <c:extLst>
                <c:ext xmlns:c15="http://schemas.microsoft.com/office/drawing/2012/chart" uri="{CE6537A1-D6FC-4f65-9D91-7224C49458BB}">
                  <c15:spPr xmlns:c15="http://schemas.microsoft.com/office/drawing/2012/chart">
                    <a:prstGeom prst="rect">
                      <a:avLst/>
                    </a:prstGeom>
                  </c15:spPr>
                  <c15:layout>
                    <c:manualLayout>
                      <c:w val="1"/>
                      <c:h val="0.18251962962962964"/>
                    </c:manualLayout>
                  </c15:layout>
                  <c15:dlblFieldTable/>
                  <c15:showDataLabelsRange val="0"/>
                </c:ext>
                <c:ext xmlns:c16="http://schemas.microsoft.com/office/drawing/2014/chart" uri="{C3380CC4-5D6E-409C-BE32-E72D297353CC}">
                  <c16:uniqueId val="{00000003-5D9F-40F4-A256-823C9FF01F41}"/>
                </c:ext>
              </c:extLst>
            </c:dLbl>
            <c:numFmt formatCode="%\ 0.00" sourceLinked="0"/>
            <c:spPr>
              <a:noFill/>
              <a:ln>
                <a:noFill/>
              </a:ln>
              <a:effectLst/>
            </c:spPr>
            <c:txPr>
              <a:bodyPr rot="0" spcFirstLastPara="1" vertOverflow="ellipsis" vert="horz" wrap="square" lIns="0" tIns="0" rIns="0" bIns="0" anchor="ctr" anchorCtr="0">
                <a:spAutoFit/>
              </a:bodyPr>
              <a:lstStyle/>
              <a:p>
                <a:pPr algn="ctr">
                  <a:defRPr sz="1300" b="1" i="0" u="none" strike="noStrike" kern="1200" baseline="0">
                    <a:solidFill>
                      <a:schemeClr val="lt1"/>
                    </a:solidFill>
                    <a:latin typeface="+mn-lt"/>
                    <a:ea typeface="+mn-ea"/>
                    <a:cs typeface="+mn-cs"/>
                  </a:defRPr>
                </a:pPr>
                <a:endParaRPr lang="tr-TR"/>
              </a:p>
            </c:txPr>
            <c:dLblPos val="ctr"/>
            <c:showLegendKey val="0"/>
            <c:showVal val="0"/>
            <c:showCatName val="0"/>
            <c:showSerName val="0"/>
            <c:showPercent val="1"/>
            <c:showBubbleSize val="0"/>
            <c:separator>
</c:separator>
            <c:showLeaderLines val="0"/>
            <c:extLst>
              <c:ext xmlns:c15="http://schemas.microsoft.com/office/drawing/2012/chart" uri="{CE6537A1-D6FC-4f65-9D91-7224C49458BB}"/>
            </c:extLst>
          </c:dLbls>
          <c:cat>
            <c:strRef>
              <c:f>'Özet Tablo'!$X$19:$X$20</c:f>
              <c:strCache>
                <c:ptCount val="2"/>
                <c:pt idx="0">
                  <c:v>Kazançlar</c:v>
                </c:pt>
                <c:pt idx="1">
                  <c:v>Kesintiler</c:v>
                </c:pt>
              </c:strCache>
            </c:strRef>
          </c:cat>
          <c:val>
            <c:numRef>
              <c:f>'Özet Tablo'!$Y$19:$Y$20</c:f>
              <c:numCache>
                <c:formatCode>#,##0.00\ "₺"</c:formatCode>
                <c:ptCount val="2"/>
                <c:pt idx="0">
                  <c:v>71303.483914953875</c:v>
                </c:pt>
                <c:pt idx="1">
                  <c:v>27865.743319948262</c:v>
                </c:pt>
              </c:numCache>
            </c:numRef>
          </c:val>
          <c:extLst>
            <c:ext xmlns:c16="http://schemas.microsoft.com/office/drawing/2014/chart" uri="{C3380CC4-5D6E-409C-BE32-E72D297353CC}">
              <c16:uniqueId val="{00000004-5D9F-40F4-A256-823C9FF01F41}"/>
            </c:ext>
          </c:extLst>
        </c:ser>
        <c:dLbls>
          <c:dLblPos val="inEnd"/>
          <c:showLegendKey val="0"/>
          <c:showVal val="1"/>
          <c:showCatName val="1"/>
          <c:showSerName val="0"/>
          <c:showPercent val="0"/>
          <c:showBubbleSize val="0"/>
          <c:showLeaderLines val="0"/>
        </c:dLbls>
        <c:firstSliceAng val="27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lumMod val="85000"/>
      </a:schemeClr>
    </a:solidFill>
    <a:ln w="9525" cap="flat" cmpd="sng" algn="ctr">
      <a:noFill/>
      <a:round/>
    </a:ln>
    <a:effectLst/>
  </c:spPr>
  <c:txPr>
    <a:bodyPr/>
    <a:lstStyle/>
    <a:p>
      <a:pPr>
        <a:defRPr/>
      </a:pPr>
      <a:endParaRPr lang="tr-T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17</xdr:col>
      <xdr:colOff>53463</xdr:colOff>
      <xdr:row>0</xdr:row>
      <xdr:rowOff>70921</xdr:rowOff>
    </xdr:from>
    <xdr:to>
      <xdr:col>17</xdr:col>
      <xdr:colOff>7290954</xdr:colOff>
      <xdr:row>27</xdr:row>
      <xdr:rowOff>398319</xdr:rowOff>
    </xdr:to>
    <xdr:graphicFrame macro="">
      <xdr:nvGraphicFramePr>
        <xdr:cNvPr id="7" name="Grafik 6">
          <a:extLst>
            <a:ext uri="{FF2B5EF4-FFF2-40B4-BE49-F238E27FC236}">
              <a16:creationId xmlns:a16="http://schemas.microsoft.com/office/drawing/2014/main" id="{80F8C963-D5D5-4BCD-8610-182E47B88E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17</xdr:col>
      <xdr:colOff>4966692</xdr:colOff>
      <xdr:row>8</xdr:row>
      <xdr:rowOff>125886</xdr:rowOff>
    </xdr:from>
    <xdr:to>
      <xdr:col>17</xdr:col>
      <xdr:colOff>7306692</xdr:colOff>
      <xdr:row>19</xdr:row>
      <xdr:rowOff>5969</xdr:rowOff>
    </xdr:to>
    <xdr:graphicFrame macro="">
      <xdr:nvGraphicFramePr>
        <xdr:cNvPr id="3" name="Grafik 2">
          <a:extLst>
            <a:ext uri="{FF2B5EF4-FFF2-40B4-BE49-F238E27FC236}">
              <a16:creationId xmlns:a16="http://schemas.microsoft.com/office/drawing/2014/main" id="{7ADA3213-C9FB-42E9-8CD0-901898DBDF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LR363"/>
  <sheetViews>
    <sheetView showGridLines="0" showRowColHeaders="0" tabSelected="1" showWhiteSpace="0" zoomScale="55" zoomScaleNormal="55" zoomScaleSheetLayoutView="40" zoomScalePageLayoutView="55" workbookViewId="0">
      <pane xSplit="2" topLeftCell="C1" activePane="topRight" state="frozen"/>
      <selection activeCell="A6" sqref="A6"/>
      <selection pane="topRight" activeCell="G23" sqref="G23"/>
    </sheetView>
  </sheetViews>
  <sheetFormatPr defaultColWidth="0" defaultRowHeight="0" customHeight="1" zeroHeight="1" x14ac:dyDescent="0.25"/>
  <cols>
    <col min="1" max="2" width="12.7109375" style="2" customWidth="1"/>
    <col min="3" max="7" width="25.7109375" style="2" customWidth="1"/>
    <col min="8" max="13" width="12.7109375" style="2" customWidth="1"/>
    <col min="14" max="16" width="30.7109375" style="2" customWidth="1"/>
    <col min="17" max="17" width="12.7109375" style="2" customWidth="1"/>
    <col min="18" max="18" width="110.7109375" style="2" customWidth="1"/>
    <col min="19" max="19" width="12.7109375" style="2" customWidth="1"/>
    <col min="20" max="20" width="5.7109375" style="2" customWidth="1"/>
    <col min="21" max="21" width="80.7109375" style="2" customWidth="1"/>
    <col min="22" max="22" width="5.7109375" style="2" customWidth="1"/>
    <col min="23" max="23" width="1.7109375" style="2" customWidth="1"/>
    <col min="24" max="26" width="0.140625" style="17" customWidth="1"/>
    <col min="27" max="55" width="5.7109375" style="17" hidden="1" customWidth="1"/>
    <col min="56" max="58" width="20.7109375" style="17" hidden="1" customWidth="1"/>
    <col min="59" max="59" width="1.7109375" style="2" customWidth="1"/>
    <col min="60" max="330" width="0" style="2" hidden="1" customWidth="1"/>
    <col min="331" max="16384" width="5.7109375" style="2" hidden="1"/>
  </cols>
  <sheetData>
    <row r="1" spans="1:59" ht="39.950000000000003" customHeight="1" x14ac:dyDescent="0.25">
      <c r="A1" s="50" t="s">
        <v>87</v>
      </c>
      <c r="B1" s="50"/>
      <c r="C1" s="51" t="s">
        <v>82</v>
      </c>
      <c r="D1" s="51" t="s">
        <v>83</v>
      </c>
      <c r="E1" s="51" t="s">
        <v>84</v>
      </c>
      <c r="F1" s="51" t="s">
        <v>85</v>
      </c>
      <c r="G1" s="51" t="s">
        <v>86</v>
      </c>
      <c r="H1" s="51" t="s">
        <v>88</v>
      </c>
      <c r="I1" s="51" t="s">
        <v>89</v>
      </c>
      <c r="J1" s="66" t="s">
        <v>67</v>
      </c>
      <c r="K1" s="51" t="s">
        <v>44</v>
      </c>
      <c r="L1" s="51" t="s">
        <v>60</v>
      </c>
      <c r="M1" s="51" t="s">
        <v>69</v>
      </c>
      <c r="N1" s="51" t="s">
        <v>57</v>
      </c>
      <c r="O1" s="51" t="s">
        <v>68</v>
      </c>
      <c r="P1" s="62" t="s">
        <v>55</v>
      </c>
      <c r="Q1" s="57" t="s">
        <v>43</v>
      </c>
      <c r="R1" s="61"/>
      <c r="S1" s="64" t="s">
        <v>28</v>
      </c>
      <c r="T1" s="54"/>
      <c r="U1" s="55"/>
      <c r="V1" s="56"/>
      <c r="W1" s="54"/>
      <c r="X1" s="17" t="s">
        <v>17</v>
      </c>
      <c r="Y1" s="18">
        <f t="shared" ref="Y1:Y3" ca="1" si="0">IF(Z1&gt;0,Z1,Z1*-1)</f>
        <v>39455.264229025641</v>
      </c>
      <c r="Z1" s="18">
        <f ca="1">COUNTIF(Q1,"Ocak")*(AK15)
+COUNTIF(Q1,"Şubat")*(AK16)
+COUNTIF(Q1,"Mart")*(AK17)
+COUNTIF(Q1,"Nisan")*(AK18)
+COUNTIF(Q1,"Mayıs")*(AK19)
+COUNTIF(Q1,"Haziran")*(AK20)
+COUNTIF(Q1,"Temmuz")*(AK21)
+COUNTIF(Q1,"Ağustos")*(AK22)
+COUNTIF(Q1,"Eylül")*(AK23)
+COUNTIF(Q1,"Ekim")*(AK24)
+COUNTIF(Q1,"Kasım")*(AK25)
+COUNTIF(Q1,"Aralık")*(AK26)
+COUNTIF(Q1,"Yıllık Toplam")*(AK27)
+COUNTIF(Q1,"Yıllık Ortalama")*(AK28)</f>
        <v>39455.264229025641</v>
      </c>
      <c r="AE1" s="18">
        <f ca="1">(AF1+AI1+AM1+AN1+AR1)</f>
        <v>6000</v>
      </c>
      <c r="AF1" s="18">
        <f t="shared" ref="AF1:AF12" si="1">(AI29)</f>
        <v>6000</v>
      </c>
      <c r="AG1" s="18">
        <f>(AF1)</f>
        <v>6000</v>
      </c>
      <c r="AH1" s="18">
        <f>IF(AF1-AG1&lt;=0,0,AF1-AG1)</f>
        <v>0</v>
      </c>
      <c r="AI1" s="18">
        <f>(AH1*0.00759*-1)</f>
        <v>0</v>
      </c>
      <c r="AJ1" s="18">
        <f>(AF1)</f>
        <v>6000</v>
      </c>
      <c r="AK1" s="18">
        <f t="shared" ref="AK1:AK6" si="2">IF($AC$13*K15&gt;=AJ1,AJ1,$AC$13*K15)</f>
        <v>6000</v>
      </c>
      <c r="AL1" s="18">
        <f>(AJ1-AK1)</f>
        <v>0</v>
      </c>
      <c r="AM1" s="18">
        <f>(AL1*0.14*-1)</f>
        <v>0</v>
      </c>
      <c r="AN1" s="18">
        <f>(AL1*0.01*-1)</f>
        <v>0</v>
      </c>
      <c r="AO1" s="18">
        <f>(AF1+AM1+AN1)</f>
        <v>6000</v>
      </c>
      <c r="AP1" s="18">
        <f t="shared" ref="AP1:AP6" si="3">IF($AC$14*K15&gt;=AO1,AO1,$AC$14*K15)</f>
        <v>6000</v>
      </c>
      <c r="AQ1" s="18">
        <f>IF(AO1-AP1&lt;=0,0,AO1-AP1)</f>
        <v>0</v>
      </c>
      <c r="AR1" s="18">
        <f t="shared" ref="AR1:AR12" ca="1" si="4">IF(AQ1*AT73*-1&gt;=0,0,AQ1*AT73*-1)</f>
        <v>0</v>
      </c>
      <c r="AS1" s="19">
        <v>30</v>
      </c>
      <c r="AT1" s="18">
        <f t="shared" ref="AT1:AT12" ca="1" si="5">(AE73)</f>
        <v>68063.950483417488</v>
      </c>
      <c r="AU1" s="18">
        <f ca="1">(AT1*0.205)</f>
        <v>13953.109849100585</v>
      </c>
      <c r="AV1" s="18">
        <f ca="1">(AT1*0.01)</f>
        <v>680.63950483417489</v>
      </c>
      <c r="AW1" s="18">
        <f ca="1">(AT1*0.05*-1)</f>
        <v>-3403.1975241708747</v>
      </c>
      <c r="AX1" s="18">
        <f ca="1">(AT1+AU1+AV1+AW1)</f>
        <v>79294.50231318138</v>
      </c>
      <c r="BG1" s="65"/>
    </row>
    <row r="2" spans="1:59" ht="39.950000000000003" customHeight="1" x14ac:dyDescent="0.25">
      <c r="A2" s="50"/>
      <c r="B2" s="50"/>
      <c r="C2" s="51"/>
      <c r="D2" s="51"/>
      <c r="E2" s="51"/>
      <c r="F2" s="51"/>
      <c r="G2" s="51"/>
      <c r="H2" s="51"/>
      <c r="I2" s="51"/>
      <c r="J2" s="66"/>
      <c r="K2" s="51"/>
      <c r="L2" s="51"/>
      <c r="M2" s="51"/>
      <c r="N2" s="51"/>
      <c r="O2" s="51"/>
      <c r="P2" s="62"/>
      <c r="Q2" s="57"/>
      <c r="R2" s="61"/>
      <c r="S2" s="64"/>
      <c r="T2" s="63"/>
      <c r="U2" s="53" t="str">
        <f>IF($S$1="Analık Hâli İzni",$Y$21,
IF($S$1="Annelik İzni",$Y$22,
IF($S$1="Babalık İzni",$Y$23,
IF($S$1="Cenaze İzni",$Y$24,
IF($S$1="Doğal Afet İzni",$Y$25,
IF($S$1="Engelli Çocuk İzni",$Y$26,
IF($S$1="Evlat Edinme İzni",$Y$27,
IF($S$1="Evlilik İzni",$Y$28,
IF($S$1="İş Arama İzni",$Y$29,
IF($S$1="Mazeret İzni",$Y$30,
IF($S$1="Süt İzni",$Y$31,
IF($S$1="Ücretli Sendikal İzin ve Sendika Temsilci Sayısı",$Y$32,
IF($S$1="Ücretli Yıllık İzin",$Y$33,
IF($S$1="Yol İzni",$Y$34))))))))))))))</f>
        <v>a) 01.01.2009 Tarihinden Önce İşe Başlayanlar İçin:
Hizmeti 6 ay olanlar için 0 iş günü ücretli yıllık izin verilir.
Hizmeti 1-5 yıl olanlar için 14 iş günü ücretli yıllık izin verilir.
Hizmeti 5-10 yıl olanlar için 23 iş günü ücretli yıllık izin verilir.
Hizmeti 10-15 yıl olanlar için 23 iş günü ücretli yıllık izin verilir.
Hizmeti 15 yıldan fazla olanlar için 26 iş günü ücretli yıllık izin verilir.
b) 01.01.2009 Tarihinden Sonra İşe Başlayanlar İçin:
Hizmeti 6 ay olanlar için 0 iş günü ücretli yıllık izin verilir.
Hizmeti 1-5 yıl olanlar için 14 iş günü ücretli yıllık izin verilir.
Hizmeti 5-10 yıl olanlar için 20 iş günü ücretli yıllık izin verilir.
Hizmeti 10-15 yıl olanlar için 20 iş günü ücretli yıllık izin verilir.
Hizmeti 15 yıldan fazla olanlar için 26 iş günü ücretli yıllık izin verilir.</v>
      </c>
      <c r="V2" s="52"/>
      <c r="W2" s="63"/>
      <c r="X2" s="17" t="s">
        <v>3</v>
      </c>
      <c r="Y2" s="18">
        <f t="shared" ca="1" si="0"/>
        <v>0</v>
      </c>
      <c r="Z2" s="18">
        <f ca="1">COUNTIF(Q1,"Ocak")*(AN15)
+COUNTIF(Q1,"Şubat")*(AN16)
+COUNTIF(Q1,"Mart")*(AN17)
+COUNTIF(Q1,"Nisan")*(AN18)
+COUNTIF(Q1,"Mayıs")*(AN19)
+COUNTIF(Q1,"Haziran")*(AN20)
+COUNTIF(Q1,"Temmuz")*(AN21)
+COUNTIF(Q1,"Ağustos")*(AN22)
+COUNTIF(Q1,"Eylül")*(AN23)
+COUNTIF(Q1,"Ekim")*(AN24)
+COUNTIF(Q1,"Kasım")*(AN25)
+COUNTIF(Q1,"Aralık")*(AN26)
+COUNTIF(Q1,"Yıllık Toplam")*(AN27)
+COUNTIF(Q1,"Yıllık Ortalama")*(AN28)</f>
        <v>0</v>
      </c>
      <c r="AA2" s="20">
        <f>(10%)</f>
        <v>0.1</v>
      </c>
      <c r="AB2" s="17" t="s">
        <v>0</v>
      </c>
      <c r="AC2" s="18">
        <f>($AC$8*$AA$2)</f>
        <v>3303</v>
      </c>
      <c r="AD2" s="18">
        <f>($AD$8*$AA$2)</f>
        <v>3303</v>
      </c>
      <c r="AE2" s="18">
        <f t="shared" ref="AE2:AE12" ca="1" si="6">(AF2+AI2+AM2+AN2+AR2)</f>
        <v>6000</v>
      </c>
      <c r="AF2" s="18">
        <f t="shared" si="1"/>
        <v>6000</v>
      </c>
      <c r="AG2" s="18">
        <f t="shared" ref="AG2:AG12" si="7">(AF2)</f>
        <v>6000</v>
      </c>
      <c r="AH2" s="18">
        <f t="shared" ref="AH2:AH12" si="8">IF(AF2-AG2&lt;=0,0,AF2-AG2)</f>
        <v>0</v>
      </c>
      <c r="AI2" s="18">
        <f t="shared" ref="AI2:AI12" si="9">(AH2*0.00759*-1)</f>
        <v>0</v>
      </c>
      <c r="AJ2" s="18">
        <f t="shared" ref="AJ2:AJ12" si="10">(AF2)</f>
        <v>6000</v>
      </c>
      <c r="AK2" s="18">
        <f t="shared" si="2"/>
        <v>6000</v>
      </c>
      <c r="AL2" s="18">
        <f t="shared" ref="AL2:AL12" si="11">(AJ2-AK2)</f>
        <v>0</v>
      </c>
      <c r="AM2" s="18">
        <f t="shared" ref="AM2:AM12" si="12">(AL2*0.14*-1)</f>
        <v>0</v>
      </c>
      <c r="AN2" s="18">
        <f t="shared" ref="AN2:AN12" si="13">(AL2*0.01*-1)</f>
        <v>0</v>
      </c>
      <c r="AO2" s="18">
        <f t="shared" ref="AO2:AO12" si="14">(AF2+AM2+AN2)</f>
        <v>6000</v>
      </c>
      <c r="AP2" s="18">
        <f t="shared" si="3"/>
        <v>6000</v>
      </c>
      <c r="AQ2" s="18">
        <f t="shared" ref="AQ2:AQ12" si="15">IF(AO2-AP2&lt;=0,0,AO2-AP2)</f>
        <v>0</v>
      </c>
      <c r="AR2" s="18">
        <f t="shared" ca="1" si="4"/>
        <v>0</v>
      </c>
      <c r="AS2" s="19">
        <v>30</v>
      </c>
      <c r="AT2" s="18">
        <f t="shared" ca="1" si="5"/>
        <v>68448.614287252931</v>
      </c>
      <c r="AU2" s="18">
        <f t="shared" ref="AU2:AU12" ca="1" si="16">(AT2*0.205)</f>
        <v>14031.96592888685</v>
      </c>
      <c r="AV2" s="18">
        <f t="shared" ref="AV2:AV12" ca="1" si="17">(AT2*0.01)</f>
        <v>684.48614287252929</v>
      </c>
      <c r="AW2" s="18">
        <f t="shared" ref="AW2:AW12" ca="1" si="18">(AT2*0.05*-1)</f>
        <v>-3422.4307143626465</v>
      </c>
      <c r="AX2" s="18">
        <f t="shared" ref="AX2:AX12" ca="1" si="19">(AT2+AU2+AV2+AW2)</f>
        <v>79742.635644649665</v>
      </c>
      <c r="BD2" s="17">
        <v>0</v>
      </c>
      <c r="BE2" s="21">
        <v>0</v>
      </c>
      <c r="BF2" s="22">
        <v>0</v>
      </c>
      <c r="BG2" s="65"/>
    </row>
    <row r="3" spans="1:59" ht="39.950000000000003" customHeight="1" x14ac:dyDescent="0.25">
      <c r="A3" s="50"/>
      <c r="B3" s="50"/>
      <c r="C3" s="51"/>
      <c r="D3" s="51"/>
      <c r="E3" s="51"/>
      <c r="F3" s="51"/>
      <c r="G3" s="51"/>
      <c r="H3" s="51"/>
      <c r="I3" s="51"/>
      <c r="J3" s="66"/>
      <c r="K3" s="51"/>
      <c r="L3" s="51"/>
      <c r="M3" s="51"/>
      <c r="N3" s="51"/>
      <c r="O3" s="51"/>
      <c r="P3" s="62"/>
      <c r="Q3" s="57"/>
      <c r="R3" s="61"/>
      <c r="S3" s="64"/>
      <c r="T3" s="63"/>
      <c r="U3" s="53"/>
      <c r="V3" s="52"/>
      <c r="W3" s="63"/>
      <c r="X3" s="17" t="s">
        <v>63</v>
      </c>
      <c r="Y3" s="18">
        <f t="shared" ca="1" si="0"/>
        <v>0</v>
      </c>
      <c r="Z3" s="18">
        <f ca="1">COUNTIF(Q1,"Ocak")*(AP15)
+COUNTIF(Q1,"Şubat")*(AP16)
+COUNTIF(Q1,"Mart")*(AP17)
+COUNTIF(Q1,"Nisan")*(AP18)
+COUNTIF(Q1,"Mayıs")*(AP19)
+COUNTIF(Q1,"Haziran")*(AP20)
+COUNTIF(Q1,"Temmuz")*(AP21)
+COUNTIF(Q1,"Ağustos")*(AP22)
+COUNTIF(Q1,"Eylül")*(AP23)
+COUNTIF(Q1,"Ekim")*(AP24)
+COUNTIF(Q1,"Kasım")*(AP25)
+COUNTIF(Q1,"Aralık")*(AP26)
+COUNTIF(Q1,"Yıllık Toplam")*(AP27)
+COUNTIF(Q1,"Yıllık Ortalama")*(AP28)</f>
        <v>0</v>
      </c>
      <c r="AA3" s="20">
        <f>(2%)</f>
        <v>0.02</v>
      </c>
      <c r="AB3" s="17" t="s">
        <v>0</v>
      </c>
      <c r="AC3" s="18">
        <f>($AC$8*$AA$3)</f>
        <v>660.6</v>
      </c>
      <c r="AD3" s="18">
        <f>($AD$8*$AA$3)</f>
        <v>660.6</v>
      </c>
      <c r="AE3" s="18">
        <f t="shared" ca="1" si="6"/>
        <v>6000</v>
      </c>
      <c r="AF3" s="18">
        <f t="shared" si="1"/>
        <v>6000</v>
      </c>
      <c r="AG3" s="18">
        <f t="shared" si="7"/>
        <v>6000</v>
      </c>
      <c r="AH3" s="18">
        <f t="shared" si="8"/>
        <v>0</v>
      </c>
      <c r="AI3" s="18">
        <f t="shared" si="9"/>
        <v>0</v>
      </c>
      <c r="AJ3" s="18">
        <f t="shared" si="10"/>
        <v>6000</v>
      </c>
      <c r="AK3" s="18">
        <f t="shared" si="2"/>
        <v>6000</v>
      </c>
      <c r="AL3" s="18">
        <f t="shared" si="11"/>
        <v>0</v>
      </c>
      <c r="AM3" s="18">
        <f t="shared" si="12"/>
        <v>0</v>
      </c>
      <c r="AN3" s="18">
        <f t="shared" si="13"/>
        <v>0</v>
      </c>
      <c r="AO3" s="18">
        <f t="shared" si="14"/>
        <v>6000</v>
      </c>
      <c r="AP3" s="18">
        <f t="shared" si="3"/>
        <v>6000</v>
      </c>
      <c r="AQ3" s="18">
        <f t="shared" si="15"/>
        <v>0</v>
      </c>
      <c r="AR3" s="18">
        <f t="shared" ca="1" si="4"/>
        <v>0</v>
      </c>
      <c r="AS3" s="19">
        <v>30</v>
      </c>
      <c r="AT3" s="18">
        <f t="shared" ca="1" si="5"/>
        <v>121362.46556674574</v>
      </c>
      <c r="AU3" s="18">
        <f t="shared" ca="1" si="16"/>
        <v>24879.305441182874</v>
      </c>
      <c r="AV3" s="18">
        <f t="shared" ca="1" si="17"/>
        <v>1213.6246556674575</v>
      </c>
      <c r="AW3" s="18">
        <f t="shared" ca="1" si="18"/>
        <v>-6068.123278337287</v>
      </c>
      <c r="AX3" s="18">
        <f t="shared" ca="1" si="19"/>
        <v>141387.27238525878</v>
      </c>
      <c r="BD3" s="17">
        <v>1</v>
      </c>
      <c r="BE3" s="21">
        <v>0.5</v>
      </c>
      <c r="BF3" s="22">
        <v>0.03</v>
      </c>
      <c r="BG3" s="65"/>
    </row>
    <row r="4" spans="1:59" ht="39.950000000000003" customHeight="1" x14ac:dyDescent="0.25">
      <c r="A4" s="50"/>
      <c r="B4" s="50"/>
      <c r="C4" s="51"/>
      <c r="D4" s="51"/>
      <c r="E4" s="51"/>
      <c r="F4" s="51"/>
      <c r="G4" s="51"/>
      <c r="H4" s="51"/>
      <c r="I4" s="51"/>
      <c r="J4" s="66"/>
      <c r="K4" s="51"/>
      <c r="L4" s="51"/>
      <c r="M4" s="51"/>
      <c r="N4" s="51"/>
      <c r="O4" s="51"/>
      <c r="P4" s="62"/>
      <c r="Q4" s="57"/>
      <c r="R4" s="61"/>
      <c r="S4" s="64"/>
      <c r="T4" s="63"/>
      <c r="U4" s="53"/>
      <c r="V4" s="52"/>
      <c r="W4" s="63"/>
      <c r="X4" s="17" t="s">
        <v>64</v>
      </c>
      <c r="Y4" s="18">
        <f t="shared" ref="Y4" ca="1" si="20">IF(Z4&gt;0,Z4,Z4*-1)</f>
        <v>0</v>
      </c>
      <c r="Z4" s="18">
        <f ca="1">COUNTIF(Q1,"Ocak")*(AR15)
+COUNTIF(Q1,"Şubat")*(AR16)
+COUNTIF(Q1,"Mart")*(AR17)
+COUNTIF(Q1,"Nisan")*(AR18)
+COUNTIF(Q1,"Mayıs")*(AR19)
+COUNTIF(Q1,"Haziran")*(AR20)
+COUNTIF(Q1,"Temmuz")*(AR21)
+COUNTIF(Q1,"Ağustos")*(AR22)
+COUNTIF(Q1,"Eylül")*(AR23)
+COUNTIF(Q1,"Ekim")*(AR24)
+COUNTIF(Q1,"Kasım")*(AR25)
+COUNTIF(Q1,"Aralık")*(AR26)
+COUNTIF(Q1,"Yıllık Toplam")*(AR27)
+COUNTIF(Q1,"Yıllık Ortalama")*(AR28)</f>
        <v>0</v>
      </c>
      <c r="AA4" s="20">
        <f>(1%)</f>
        <v>0.01</v>
      </c>
      <c r="AB4" s="17" t="s">
        <v>0</v>
      </c>
      <c r="AC4" s="18">
        <f>($AC$8*$AA$4)</f>
        <v>330.3</v>
      </c>
      <c r="AD4" s="18">
        <f>($AD$8*$AA$4)</f>
        <v>330.3</v>
      </c>
      <c r="AE4" s="18">
        <f t="shared" ca="1" si="6"/>
        <v>6000</v>
      </c>
      <c r="AF4" s="18">
        <f t="shared" si="1"/>
        <v>6000</v>
      </c>
      <c r="AG4" s="18">
        <f t="shared" si="7"/>
        <v>6000</v>
      </c>
      <c r="AH4" s="18">
        <f t="shared" si="8"/>
        <v>0</v>
      </c>
      <c r="AI4" s="18">
        <f t="shared" si="9"/>
        <v>0</v>
      </c>
      <c r="AJ4" s="18">
        <f t="shared" si="10"/>
        <v>6000</v>
      </c>
      <c r="AK4" s="18">
        <f t="shared" si="2"/>
        <v>6000</v>
      </c>
      <c r="AL4" s="18">
        <f t="shared" si="11"/>
        <v>0</v>
      </c>
      <c r="AM4" s="18">
        <f t="shared" si="12"/>
        <v>0</v>
      </c>
      <c r="AN4" s="18">
        <f t="shared" si="13"/>
        <v>0</v>
      </c>
      <c r="AO4" s="18">
        <f t="shared" si="14"/>
        <v>6000</v>
      </c>
      <c r="AP4" s="18">
        <f t="shared" si="3"/>
        <v>6000</v>
      </c>
      <c r="AQ4" s="18">
        <f t="shared" si="15"/>
        <v>0</v>
      </c>
      <c r="AR4" s="18">
        <f t="shared" ca="1" si="4"/>
        <v>0</v>
      </c>
      <c r="AS4" s="19">
        <v>30</v>
      </c>
      <c r="AT4" s="18">
        <f t="shared" ca="1" si="5"/>
        <v>69124.855616513727</v>
      </c>
      <c r="AU4" s="18">
        <f t="shared" ca="1" si="16"/>
        <v>14170.595401385313</v>
      </c>
      <c r="AV4" s="18">
        <f t="shared" ca="1" si="17"/>
        <v>691.2485561651373</v>
      </c>
      <c r="AW4" s="18">
        <f t="shared" ca="1" si="18"/>
        <v>-3456.2427808256866</v>
      </c>
      <c r="AX4" s="18">
        <f t="shared" ca="1" si="19"/>
        <v>80530.456793238496</v>
      </c>
      <c r="BD4" s="17">
        <v>2</v>
      </c>
      <c r="BE4" s="21">
        <v>1</v>
      </c>
      <c r="BF4" s="22">
        <v>0.04</v>
      </c>
      <c r="BG4" s="65"/>
    </row>
    <row r="5" spans="1:59" ht="39.950000000000003" customHeight="1" x14ac:dyDescent="0.25">
      <c r="A5" s="50"/>
      <c r="B5" s="50"/>
      <c r="C5" s="51"/>
      <c r="D5" s="51"/>
      <c r="E5" s="51"/>
      <c r="F5" s="51"/>
      <c r="G5" s="51"/>
      <c r="H5" s="51"/>
      <c r="I5" s="51"/>
      <c r="J5" s="66"/>
      <c r="K5" s="51"/>
      <c r="L5" s="51"/>
      <c r="M5" s="51"/>
      <c r="N5" s="51"/>
      <c r="O5" s="51"/>
      <c r="P5" s="62"/>
      <c r="Q5" s="57"/>
      <c r="R5" s="61"/>
      <c r="S5" s="64"/>
      <c r="T5" s="63"/>
      <c r="U5" s="53"/>
      <c r="V5" s="52"/>
      <c r="W5" s="63"/>
      <c r="X5" s="17" t="s">
        <v>65</v>
      </c>
      <c r="Y5" s="18">
        <f t="shared" ref="Y5:Y10" ca="1" si="21">IF(Z5&gt;0,Z5,Z5*-1)</f>
        <v>0</v>
      </c>
      <c r="Z5" s="18">
        <f ca="1">COUNTIF(Q1,"Ocak")*(AE29)
+COUNTIF(Q1,"Şubat")*(AE30)
+COUNTIF(Q1,"Mart")*(AE31)
+COUNTIF(Q1,"Nisan")*(AE32)
+COUNTIF(Q1,"Mayıs")*(AE33)
+COUNTIF(Q1,"Haziran")*(AE34)
+COUNTIF(Q1,"Temmuz")*(AE35)
+COUNTIF(Q1,"Ağustos")*(AE36)
+COUNTIF(Q1,"Eylül")*(AE37)
+COUNTIF(Q1,"Ekim")*(AE38)
+COUNTIF(Q1,"Kasım")*(AE39)
+COUNTIF(Q1,"Aralık")*(AE40)
+COUNTIF(Q1,"Yıllık Toplam")*(AE41)
+COUNTIF(Q1,"Yıllık Ortalama")*(AE42)</f>
        <v>0</v>
      </c>
      <c r="AA5" s="17" t="s">
        <v>0</v>
      </c>
      <c r="AB5" s="17" t="s">
        <v>0</v>
      </c>
      <c r="AC5" s="18">
        <f>($AC$16)</f>
        <v>3154.6307830000001</v>
      </c>
      <c r="AD5" s="18">
        <f>($AD$16)</f>
        <v>3581.1387760000002</v>
      </c>
      <c r="AE5" s="18">
        <f t="shared" ca="1" si="6"/>
        <v>6000</v>
      </c>
      <c r="AF5" s="18">
        <f t="shared" si="1"/>
        <v>6000</v>
      </c>
      <c r="AG5" s="18">
        <f t="shared" si="7"/>
        <v>6000</v>
      </c>
      <c r="AH5" s="18">
        <f t="shared" si="8"/>
        <v>0</v>
      </c>
      <c r="AI5" s="18">
        <f t="shared" si="9"/>
        <v>0</v>
      </c>
      <c r="AJ5" s="18">
        <f t="shared" si="10"/>
        <v>6000</v>
      </c>
      <c r="AK5" s="18">
        <f t="shared" si="2"/>
        <v>6000</v>
      </c>
      <c r="AL5" s="18">
        <f t="shared" si="11"/>
        <v>0</v>
      </c>
      <c r="AM5" s="18">
        <f t="shared" si="12"/>
        <v>0</v>
      </c>
      <c r="AN5" s="18">
        <f t="shared" si="13"/>
        <v>0</v>
      </c>
      <c r="AO5" s="18">
        <f t="shared" si="14"/>
        <v>6000</v>
      </c>
      <c r="AP5" s="18">
        <f t="shared" si="3"/>
        <v>6000</v>
      </c>
      <c r="AQ5" s="18">
        <f t="shared" si="15"/>
        <v>0</v>
      </c>
      <c r="AR5" s="18">
        <f t="shared" ca="1" si="4"/>
        <v>0</v>
      </c>
      <c r="AS5" s="19">
        <v>30</v>
      </c>
      <c r="AT5" s="18">
        <f t="shared" ca="1" si="5"/>
        <v>69124.855616513727</v>
      </c>
      <c r="AU5" s="18">
        <f t="shared" ca="1" si="16"/>
        <v>14170.595401385313</v>
      </c>
      <c r="AV5" s="18">
        <f t="shared" ca="1" si="17"/>
        <v>691.2485561651373</v>
      </c>
      <c r="AW5" s="18">
        <f t="shared" ca="1" si="18"/>
        <v>-3456.2427808256866</v>
      </c>
      <c r="AX5" s="18">
        <f t="shared" ca="1" si="19"/>
        <v>80530.456793238496</v>
      </c>
      <c r="BD5" s="17">
        <v>3</v>
      </c>
      <c r="BE5" s="21">
        <v>1.5</v>
      </c>
      <c r="BF5" s="22">
        <v>0.05</v>
      </c>
      <c r="BG5" s="65"/>
    </row>
    <row r="6" spans="1:59" ht="39.950000000000003" customHeight="1" x14ac:dyDescent="0.25">
      <c r="A6" s="50"/>
      <c r="B6" s="50"/>
      <c r="C6" s="51"/>
      <c r="D6" s="51"/>
      <c r="E6" s="51"/>
      <c r="F6" s="51"/>
      <c r="G6" s="51"/>
      <c r="H6" s="51"/>
      <c r="I6" s="51"/>
      <c r="J6" s="66"/>
      <c r="K6" s="51"/>
      <c r="L6" s="51"/>
      <c r="M6" s="51"/>
      <c r="N6" s="51"/>
      <c r="O6" s="51"/>
      <c r="P6" s="62"/>
      <c r="Q6" s="57"/>
      <c r="R6" s="61"/>
      <c r="S6" s="64"/>
      <c r="T6" s="63"/>
      <c r="U6" s="53"/>
      <c r="V6" s="52"/>
      <c r="W6" s="63"/>
      <c r="X6" s="17" t="s">
        <v>66</v>
      </c>
      <c r="Y6" s="18">
        <f t="shared" ca="1" si="21"/>
        <v>0</v>
      </c>
      <c r="Z6" s="18">
        <f ca="1">COUNTIF(Q1,"Ocak")*(AH29)
+COUNTIF(Q1,"Şubat")*(AH30)
+COUNTIF(Q1,"Mart")*(AH31)
+COUNTIF(Q1,"Nisan")*(AH32)
+COUNTIF(Q1,"Mayıs")*(AH33)
+COUNTIF(Q1,"Haziran")*(AH34)
+COUNTIF(Q1,"Temmuz")*(AH35)
+COUNTIF(Q1,"Ağustos")*(AH36)
+COUNTIF(Q1,"Eylül")*(AH37)
+COUNTIF(Q1,"Ekim")*(AH38)
+COUNTIF(Q1,"Kasım")*(AH39)
+COUNTIF(Q1,"Aralık")*(AH40)
+COUNTIF(Q1,"Yıllık Toplam")*(AH41)
+COUNTIF(Q1,"Yıllık Ortalama")*(AH42)</f>
        <v>0</v>
      </c>
      <c r="AA6" s="17" t="s">
        <v>0</v>
      </c>
      <c r="AB6" s="17" t="s">
        <v>0</v>
      </c>
      <c r="AC6" s="18">
        <f>($AC$17)</f>
        <v>693.93550000000005</v>
      </c>
      <c r="AD6" s="18">
        <f>($AD$17)</f>
        <v>787.75599999999997</v>
      </c>
      <c r="AE6" s="18">
        <f t="shared" ca="1" si="6"/>
        <v>6000</v>
      </c>
      <c r="AF6" s="18">
        <f t="shared" si="1"/>
        <v>6000</v>
      </c>
      <c r="AG6" s="18">
        <f t="shared" si="7"/>
        <v>6000</v>
      </c>
      <c r="AH6" s="18">
        <f t="shared" si="8"/>
        <v>0</v>
      </c>
      <c r="AI6" s="18">
        <f t="shared" si="9"/>
        <v>0</v>
      </c>
      <c r="AJ6" s="18">
        <f t="shared" si="10"/>
        <v>6000</v>
      </c>
      <c r="AK6" s="18">
        <f t="shared" si="2"/>
        <v>6000</v>
      </c>
      <c r="AL6" s="18">
        <f t="shared" si="11"/>
        <v>0</v>
      </c>
      <c r="AM6" s="18">
        <f t="shared" si="12"/>
        <v>0</v>
      </c>
      <c r="AN6" s="18">
        <f t="shared" si="13"/>
        <v>0</v>
      </c>
      <c r="AO6" s="18">
        <f t="shared" si="14"/>
        <v>6000</v>
      </c>
      <c r="AP6" s="18">
        <f t="shared" si="3"/>
        <v>6000</v>
      </c>
      <c r="AQ6" s="18">
        <f t="shared" si="15"/>
        <v>0</v>
      </c>
      <c r="AR6" s="18">
        <f t="shared" ca="1" si="4"/>
        <v>0</v>
      </c>
      <c r="AS6" s="19">
        <v>30</v>
      </c>
      <c r="AT6" s="18">
        <f t="shared" ca="1" si="5"/>
        <v>121657.22349641151</v>
      </c>
      <c r="AU6" s="18">
        <f t="shared" ca="1" si="16"/>
        <v>24939.730816764357</v>
      </c>
      <c r="AV6" s="18">
        <f t="shared" ca="1" si="17"/>
        <v>1216.5722349641151</v>
      </c>
      <c r="AW6" s="18">
        <f t="shared" ca="1" si="18"/>
        <v>-6082.8611748205758</v>
      </c>
      <c r="AX6" s="18">
        <f t="shared" ca="1" si="19"/>
        <v>141730.66537331941</v>
      </c>
      <c r="BD6" s="17">
        <v>4</v>
      </c>
      <c r="BE6" s="21">
        <v>2</v>
      </c>
      <c r="BF6" s="22">
        <v>0.06</v>
      </c>
      <c r="BG6" s="65"/>
    </row>
    <row r="7" spans="1:59" ht="39.950000000000003" customHeight="1" x14ac:dyDescent="0.25">
      <c r="A7" s="50"/>
      <c r="B7" s="50"/>
      <c r="C7" s="51"/>
      <c r="D7" s="51"/>
      <c r="E7" s="51"/>
      <c r="F7" s="51"/>
      <c r="G7" s="51"/>
      <c r="H7" s="51"/>
      <c r="I7" s="51"/>
      <c r="J7" s="66"/>
      <c r="K7" s="51"/>
      <c r="L7" s="51"/>
      <c r="M7" s="51"/>
      <c r="N7" s="51"/>
      <c r="O7" s="51"/>
      <c r="P7" s="62"/>
      <c r="Q7" s="57"/>
      <c r="R7" s="61"/>
      <c r="S7" s="64"/>
      <c r="T7" s="63"/>
      <c r="U7" s="53"/>
      <c r="V7" s="52"/>
      <c r="W7" s="63"/>
      <c r="X7" s="17" t="s">
        <v>6</v>
      </c>
      <c r="Y7" s="18">
        <f t="shared" ca="1" si="21"/>
        <v>6000</v>
      </c>
      <c r="Z7" s="18">
        <f ca="1">COUNTIF(Q1,"Ocak")*(AE1)
+COUNTIF(Q1,"Şubat")*(AE2)
+COUNTIF(Q1,"Mart")*(AE3)
+COUNTIF(Q1,"Nisan")*(AE4)
+COUNTIF(Q1,"Mayıs")*(AE5)
+COUNTIF(Q1,"Haziran")*(AE6)
+COUNTIF(Q1,"Temmuz")*(AE7)
+COUNTIF(Q1,"Ağustos")*(AE8)
+COUNTIF(Q1,"Eylül")*(AE9)
+COUNTIF(Q1,"Ekim")*(AE10)
+COUNTIF(Q1,"Kasım")*(AE11)
+COUNTIF(Q1,"Aralık")*(AE12)
+COUNTIF(Q1,"Yıllık Toplam")*(AE13)
+COUNTIF(Q1,"Yıllık Ortalama")*(AE14)</f>
        <v>6000</v>
      </c>
      <c r="AA7" s="17" t="s">
        <v>0</v>
      </c>
      <c r="AB7" s="17" t="s">
        <v>0</v>
      </c>
      <c r="AC7" s="18">
        <f>($AC$18)</f>
        <v>346.96775000000002</v>
      </c>
      <c r="AD7" s="18">
        <f>($AD$18)</f>
        <v>393.87799999999999</v>
      </c>
      <c r="AE7" s="18">
        <f t="shared" ca="1" si="6"/>
        <v>6000</v>
      </c>
      <c r="AF7" s="18">
        <f t="shared" si="1"/>
        <v>6000</v>
      </c>
      <c r="AG7" s="18">
        <f t="shared" si="7"/>
        <v>6000</v>
      </c>
      <c r="AH7" s="18">
        <f t="shared" si="8"/>
        <v>0</v>
      </c>
      <c r="AI7" s="18">
        <f t="shared" si="9"/>
        <v>0</v>
      </c>
      <c r="AJ7" s="18">
        <f t="shared" si="10"/>
        <v>6000</v>
      </c>
      <c r="AK7" s="18">
        <f t="shared" ref="AK7:AK12" si="22">IF($AD$13*K21&gt;=AJ7,AJ7,$AD$13*K21)</f>
        <v>6000</v>
      </c>
      <c r="AL7" s="18">
        <f t="shared" si="11"/>
        <v>0</v>
      </c>
      <c r="AM7" s="18">
        <f t="shared" si="12"/>
        <v>0</v>
      </c>
      <c r="AN7" s="18">
        <f t="shared" si="13"/>
        <v>0</v>
      </c>
      <c r="AO7" s="18">
        <f t="shared" si="14"/>
        <v>6000</v>
      </c>
      <c r="AP7" s="18">
        <f t="shared" ref="AP7:AP12" si="23">IF($AD$14*K21&gt;=AO7,AO7,$AD$14*K21)</f>
        <v>6000</v>
      </c>
      <c r="AQ7" s="18">
        <f t="shared" si="15"/>
        <v>0</v>
      </c>
      <c r="AR7" s="18">
        <f t="shared" ca="1" si="4"/>
        <v>0</v>
      </c>
      <c r="AS7" s="19">
        <v>30</v>
      </c>
      <c r="AT7" s="18">
        <f t="shared" ca="1" si="5"/>
        <v>82077.29676608312</v>
      </c>
      <c r="AU7" s="18">
        <f t="shared" ca="1" si="16"/>
        <v>16825.84583704704</v>
      </c>
      <c r="AV7" s="18">
        <f t="shared" ca="1" si="17"/>
        <v>820.77296766083123</v>
      </c>
      <c r="AW7" s="18">
        <f t="shared" ca="1" si="18"/>
        <v>-4103.8648383041564</v>
      </c>
      <c r="AX7" s="18">
        <f t="shared" ca="1" si="19"/>
        <v>95620.050732486838</v>
      </c>
      <c r="BD7" s="17">
        <v>5</v>
      </c>
      <c r="BE7" s="21">
        <v>2.5</v>
      </c>
      <c r="BF7" s="22">
        <v>7.0000000000000007E-2</v>
      </c>
      <c r="BG7" s="65"/>
    </row>
    <row r="8" spans="1:59" ht="39.950000000000003" customHeight="1" x14ac:dyDescent="0.25">
      <c r="A8" s="50"/>
      <c r="B8" s="50"/>
      <c r="C8" s="51"/>
      <c r="D8" s="51"/>
      <c r="E8" s="51"/>
      <c r="F8" s="51"/>
      <c r="G8" s="51"/>
      <c r="H8" s="51"/>
      <c r="I8" s="51"/>
      <c r="J8" s="66"/>
      <c r="K8" s="51"/>
      <c r="L8" s="51"/>
      <c r="M8" s="51"/>
      <c r="N8" s="51"/>
      <c r="O8" s="51"/>
      <c r="P8" s="62"/>
      <c r="Q8" s="57"/>
      <c r="R8" s="61"/>
      <c r="S8" s="64"/>
      <c r="T8" s="63"/>
      <c r="U8" s="53"/>
      <c r="V8" s="52"/>
      <c r="W8" s="63"/>
      <c r="X8" s="17" t="s">
        <v>16</v>
      </c>
      <c r="Y8" s="18">
        <f t="shared" si="21"/>
        <v>3376.8333333333335</v>
      </c>
      <c r="Z8" s="18">
        <f>COUNTIF(Q1,"Ocak")*(AK29)
+COUNTIF(Q1,"Şubat")*(AK30)
+COUNTIF(Q1,"Mart")*(AK31)
+COUNTIF(Q1,"Nisan")*(AK32)
+COUNTIF(Q1,"Mayıs")*(AK33)
+COUNTIF(Q1,"Haziran")*(AK34)
+COUNTIF(Q1,"Temmuz")*(AK35)
+COUNTIF(Q1,"Ağustos")*(AK36)
+COUNTIF(Q1,"Eylül")*(AK37)
+COUNTIF(Q1,"Ekim")*(AK38)
+COUNTIF(Q1,"Kasım")*(AK39)
+COUNTIF(Q1,"Aralık")*(AK40)
+COUNTIF(Q1,"Yıllık Toplam")*(AK41)
+COUNTIF(Q1,"Yıllık Ortalama")*(AK42)</f>
        <v>3376.8333333333335</v>
      </c>
      <c r="AA8" s="18" t="s">
        <v>0</v>
      </c>
      <c r="AB8" s="17" t="s">
        <v>0</v>
      </c>
      <c r="AC8" s="18">
        <v>33030</v>
      </c>
      <c r="AD8" s="18">
        <v>33030</v>
      </c>
      <c r="AE8" s="18">
        <f t="shared" ca="1" si="6"/>
        <v>6000</v>
      </c>
      <c r="AF8" s="18">
        <f t="shared" si="1"/>
        <v>6000</v>
      </c>
      <c r="AG8" s="18">
        <f t="shared" si="7"/>
        <v>6000</v>
      </c>
      <c r="AH8" s="18">
        <f t="shared" si="8"/>
        <v>0</v>
      </c>
      <c r="AI8" s="18">
        <f t="shared" si="9"/>
        <v>0</v>
      </c>
      <c r="AJ8" s="18">
        <f t="shared" si="10"/>
        <v>6000</v>
      </c>
      <c r="AK8" s="18">
        <f t="shared" si="22"/>
        <v>6000</v>
      </c>
      <c r="AL8" s="18">
        <f t="shared" si="11"/>
        <v>0</v>
      </c>
      <c r="AM8" s="18">
        <f t="shared" si="12"/>
        <v>0</v>
      </c>
      <c r="AN8" s="18">
        <f t="shared" si="13"/>
        <v>0</v>
      </c>
      <c r="AO8" s="18">
        <f t="shared" si="14"/>
        <v>6000</v>
      </c>
      <c r="AP8" s="18">
        <f t="shared" si="23"/>
        <v>6000</v>
      </c>
      <c r="AQ8" s="18">
        <f t="shared" si="15"/>
        <v>0</v>
      </c>
      <c r="AR8" s="18">
        <f t="shared" ca="1" si="4"/>
        <v>0</v>
      </c>
      <c r="AS8" s="19">
        <v>30</v>
      </c>
      <c r="AT8" s="18">
        <f t="shared" ca="1" si="5"/>
        <v>82418.292997177399</v>
      </c>
      <c r="AU8" s="18">
        <f t="shared" ca="1" si="16"/>
        <v>16895.750064421365</v>
      </c>
      <c r="AV8" s="18">
        <f t="shared" ca="1" si="17"/>
        <v>824.182929971774</v>
      </c>
      <c r="AW8" s="18">
        <f t="shared" ca="1" si="18"/>
        <v>-4120.9146498588698</v>
      </c>
      <c r="AX8" s="18">
        <f t="shared" ca="1" si="19"/>
        <v>96017.311341711669</v>
      </c>
      <c r="BD8" s="17">
        <v>6</v>
      </c>
      <c r="BE8" s="21">
        <v>3</v>
      </c>
      <c r="BF8" s="22">
        <v>0.08</v>
      </c>
      <c r="BG8" s="65"/>
    </row>
    <row r="9" spans="1:59" ht="39.950000000000003" customHeight="1" x14ac:dyDescent="0.25">
      <c r="A9" s="50"/>
      <c r="B9" s="50"/>
      <c r="C9" s="51"/>
      <c r="D9" s="51"/>
      <c r="E9" s="51"/>
      <c r="F9" s="51"/>
      <c r="G9" s="51"/>
      <c r="H9" s="51"/>
      <c r="I9" s="51"/>
      <c r="J9" s="66"/>
      <c r="K9" s="51"/>
      <c r="L9" s="51"/>
      <c r="M9" s="51"/>
      <c r="N9" s="51"/>
      <c r="O9" s="51"/>
      <c r="P9" s="62"/>
      <c r="Q9" s="57"/>
      <c r="R9" s="61"/>
      <c r="S9" s="64"/>
      <c r="T9" s="63"/>
      <c r="U9" s="53"/>
      <c r="V9" s="52"/>
      <c r="W9" s="63"/>
      <c r="X9" s="17" t="s">
        <v>21</v>
      </c>
      <c r="Y9" s="18">
        <f t="shared" ca="1" si="21"/>
        <v>13117.401729025647</v>
      </c>
      <c r="Z9" s="18">
        <f ca="1">COUNTIF(Q1,"Ocak")*(AO29)
+COUNTIF(Q1,"Şubat")*(AO30)
+COUNTIF(Q1,"Mart")*(AO31)
+COUNTIF(Q1,"Nisan")*(AO32)
+COUNTIF(Q1,"Mayıs")*(AO33)
+COUNTIF(Q1,"Haziran")*(AO34)
+COUNTIF(Q1,"Temmuz")*(AO35)
+COUNTIF(Q1,"Ağustos")*(AO36)
+COUNTIF(Q1,"Eylül")*(AO37)
+COUNTIF(Q1,"Ekim")*(AO38)
+COUNTIF(Q1,"Kasım")*(AO39)
+COUNTIF(Q1,"Aralık")*(AO40)
+COUNTIF(Q1,"Yıllık Toplam")*(AO41)
+COUNTIF(Q1,"Yıllık Ortalama")*(AO42)</f>
        <v>13117.401729025647</v>
      </c>
      <c r="AA9" s="18" t="s">
        <v>0</v>
      </c>
      <c r="AB9" s="17" t="s">
        <v>0</v>
      </c>
      <c r="AC9" s="18">
        <v>0</v>
      </c>
      <c r="AD9" s="18">
        <v>0</v>
      </c>
      <c r="AE9" s="18">
        <f t="shared" ca="1" si="6"/>
        <v>6000</v>
      </c>
      <c r="AF9" s="18">
        <f t="shared" si="1"/>
        <v>6000</v>
      </c>
      <c r="AG9" s="18">
        <f t="shared" si="7"/>
        <v>6000</v>
      </c>
      <c r="AH9" s="18">
        <f t="shared" si="8"/>
        <v>0</v>
      </c>
      <c r="AI9" s="18">
        <f t="shared" si="9"/>
        <v>0</v>
      </c>
      <c r="AJ9" s="18">
        <f t="shared" si="10"/>
        <v>6000</v>
      </c>
      <c r="AK9" s="18">
        <f t="shared" si="22"/>
        <v>6000</v>
      </c>
      <c r="AL9" s="18">
        <f t="shared" si="11"/>
        <v>0</v>
      </c>
      <c r="AM9" s="18">
        <f t="shared" si="12"/>
        <v>0</v>
      </c>
      <c r="AN9" s="18">
        <f t="shared" si="13"/>
        <v>0</v>
      </c>
      <c r="AO9" s="18">
        <f t="shared" si="14"/>
        <v>6000</v>
      </c>
      <c r="AP9" s="18">
        <f t="shared" si="23"/>
        <v>6000</v>
      </c>
      <c r="AQ9" s="18">
        <f t="shared" si="15"/>
        <v>0</v>
      </c>
      <c r="AR9" s="18">
        <f t="shared" ca="1" si="4"/>
        <v>0</v>
      </c>
      <c r="AS9" s="19">
        <v>30</v>
      </c>
      <c r="AT9" s="18">
        <f t="shared" ca="1" si="5"/>
        <v>158438.2929971774</v>
      </c>
      <c r="AU9" s="18">
        <f t="shared" ca="1" si="16"/>
        <v>32479.850064421364</v>
      </c>
      <c r="AV9" s="18">
        <f t="shared" ca="1" si="17"/>
        <v>1584.382929971774</v>
      </c>
      <c r="AW9" s="18">
        <f t="shared" ca="1" si="18"/>
        <v>-7921.9146498588707</v>
      </c>
      <c r="AX9" s="18">
        <f t="shared" ca="1" si="19"/>
        <v>184580.61134171166</v>
      </c>
      <c r="BD9" s="17">
        <v>7</v>
      </c>
      <c r="BE9" s="21">
        <v>3.5</v>
      </c>
      <c r="BF9" s="22">
        <v>0.09</v>
      </c>
      <c r="BG9" s="65"/>
    </row>
    <row r="10" spans="1:59" ht="39.950000000000003" customHeight="1" x14ac:dyDescent="0.25">
      <c r="A10" s="50"/>
      <c r="B10" s="50"/>
      <c r="C10" s="51"/>
      <c r="D10" s="51"/>
      <c r="E10" s="51"/>
      <c r="F10" s="51"/>
      <c r="G10" s="51"/>
      <c r="H10" s="51"/>
      <c r="I10" s="51"/>
      <c r="J10" s="66"/>
      <c r="K10" s="51"/>
      <c r="L10" s="51"/>
      <c r="M10" s="51"/>
      <c r="N10" s="51"/>
      <c r="O10" s="51"/>
      <c r="P10" s="62"/>
      <c r="Q10" s="57"/>
      <c r="R10" s="61"/>
      <c r="S10" s="64"/>
      <c r="T10" s="63"/>
      <c r="U10" s="53"/>
      <c r="V10" s="52"/>
      <c r="W10" s="63"/>
      <c r="X10" s="17" t="s">
        <v>7</v>
      </c>
      <c r="Y10" s="18">
        <f t="shared" ca="1" si="21"/>
        <v>4279.8517731592137</v>
      </c>
      <c r="Z10" s="18">
        <f ca="1">COUNTIF(Q1,"Ocak")*(AQ29)
+COUNTIF(Q1,"Şubat")*(AQ30)
+COUNTIF(Q1,"Mart")*(AQ31)
+COUNTIF(Q1,"Nisan")*(AQ32)
+COUNTIF(Q1,"Mayıs")*(AQ33)
+COUNTIF(Q1,"Haziran")*(AQ34)
+COUNTIF(Q1,"Temmuz")*(AQ35)
+COUNTIF(Q1,"Ağustos")*(AQ36)
+COUNTIF(Q1,"Eylül")*(AQ37)
+COUNTIF(Q1,"Ekim")*(AQ38)
+COUNTIF(Q1,"Kasım")*(AQ39)
+COUNTIF(Q1,"Aralık")*(AQ40)
+COUNTIF(Q1,"Yıllık Toplam")*(AQ41)
+COUNTIF(Q1,"Yıllık Ortalama")*(AQ42)</f>
        <v>4279.8517731592137</v>
      </c>
      <c r="AA10" s="18" t="s">
        <v>0</v>
      </c>
      <c r="AB10" s="17" t="s">
        <v>0</v>
      </c>
      <c r="AC10" s="18">
        <v>158</v>
      </c>
      <c r="AD10" s="18">
        <v>158</v>
      </c>
      <c r="AE10" s="18">
        <f t="shared" ca="1" si="6"/>
        <v>6000</v>
      </c>
      <c r="AF10" s="18">
        <f t="shared" si="1"/>
        <v>6000</v>
      </c>
      <c r="AG10" s="18">
        <f t="shared" si="7"/>
        <v>6000</v>
      </c>
      <c r="AH10" s="18">
        <f t="shared" si="8"/>
        <v>0</v>
      </c>
      <c r="AI10" s="18">
        <f t="shared" si="9"/>
        <v>0</v>
      </c>
      <c r="AJ10" s="18">
        <f t="shared" si="10"/>
        <v>6000</v>
      </c>
      <c r="AK10" s="18">
        <f t="shared" si="22"/>
        <v>6000</v>
      </c>
      <c r="AL10" s="18">
        <f t="shared" si="11"/>
        <v>0</v>
      </c>
      <c r="AM10" s="18">
        <f t="shared" si="12"/>
        <v>0</v>
      </c>
      <c r="AN10" s="18">
        <f t="shared" si="13"/>
        <v>0</v>
      </c>
      <c r="AO10" s="18">
        <f t="shared" si="14"/>
        <v>6000</v>
      </c>
      <c r="AP10" s="18">
        <f t="shared" si="23"/>
        <v>6000</v>
      </c>
      <c r="AQ10" s="18">
        <f t="shared" si="15"/>
        <v>0</v>
      </c>
      <c r="AR10" s="18">
        <f t="shared" ca="1" si="4"/>
        <v>0</v>
      </c>
      <c r="AS10" s="19">
        <v>30</v>
      </c>
      <c r="AT10" s="18">
        <f t="shared" ca="1" si="5"/>
        <v>92183.292997177399</v>
      </c>
      <c r="AU10" s="18">
        <f t="shared" ca="1" si="16"/>
        <v>18897.575064421366</v>
      </c>
      <c r="AV10" s="18">
        <f t="shared" ca="1" si="17"/>
        <v>921.83292997177398</v>
      </c>
      <c r="AW10" s="18">
        <f t="shared" ca="1" si="18"/>
        <v>-4609.1646498588698</v>
      </c>
      <c r="AX10" s="18">
        <f t="shared" ca="1" si="19"/>
        <v>107393.53634171168</v>
      </c>
      <c r="BD10" s="17">
        <v>8</v>
      </c>
      <c r="BE10" s="21">
        <v>4</v>
      </c>
      <c r="BF10" s="22">
        <v>0.1</v>
      </c>
      <c r="BG10" s="65"/>
    </row>
    <row r="11" spans="1:59" ht="39.950000000000003" customHeight="1" x14ac:dyDescent="0.25">
      <c r="A11" s="50"/>
      <c r="B11" s="50"/>
      <c r="C11" s="51"/>
      <c r="D11" s="51"/>
      <c r="E11" s="51"/>
      <c r="F11" s="51"/>
      <c r="G11" s="51"/>
      <c r="H11" s="51"/>
      <c r="I11" s="51"/>
      <c r="J11" s="66"/>
      <c r="K11" s="51"/>
      <c r="L11" s="51"/>
      <c r="M11" s="51"/>
      <c r="N11" s="51"/>
      <c r="O11" s="51"/>
      <c r="P11" s="62"/>
      <c r="Q11" s="57"/>
      <c r="R11" s="61"/>
      <c r="S11" s="64"/>
      <c r="T11" s="63"/>
      <c r="U11" s="53"/>
      <c r="V11" s="52"/>
      <c r="W11" s="63"/>
      <c r="X11" s="17" t="s">
        <v>23</v>
      </c>
      <c r="Y11" s="18">
        <f t="shared" ref="Y11:Y20" si="24">IF(Z11&gt;0,Z11,Z11*-1)</f>
        <v>0</v>
      </c>
      <c r="Z11" s="18">
        <f>COUNTIF(Q1,"Ocak")*(AJ43)
+COUNTIF(Q1,"Şubat")*(AJ44)
+COUNTIF(Q1,"Mart")*(AJ45)
+COUNTIF(Q1,"Nisan")*(AJ46)
+COUNTIF(Q1,"Mayıs")*(AJ47)
+COUNTIF(Q1,"Haziran")*(AJ48)
+COUNTIF(Q1,"Temmuz")*(AJ49)
+COUNTIF(Q1,"Ağustos")*(AJ50)
+COUNTIF(Q1,"Eylül")*(AJ51)
+COUNTIF(Q1,"Ekim")*(AJ52)
+COUNTIF(Q1,"Kasım")*(AJ53)
+COUNTIF(Q1,"Aralık")*(AJ54)
+COUNTIF(Q1,"Yıllık Toplam")*(AJ55)
+COUNTIF(Q1,"Yıllık Ortalama")*(AJ56)</f>
        <v>0</v>
      </c>
      <c r="AA11" s="18" t="s">
        <v>0</v>
      </c>
      <c r="AB11" s="17" t="s">
        <v>0</v>
      </c>
      <c r="AC11" s="18">
        <v>1000</v>
      </c>
      <c r="AD11" s="18">
        <v>1000</v>
      </c>
      <c r="AE11" s="18">
        <f t="shared" ca="1" si="6"/>
        <v>6000</v>
      </c>
      <c r="AF11" s="18">
        <f t="shared" si="1"/>
        <v>6000</v>
      </c>
      <c r="AG11" s="18">
        <f t="shared" si="7"/>
        <v>6000</v>
      </c>
      <c r="AH11" s="18">
        <f t="shared" si="8"/>
        <v>0</v>
      </c>
      <c r="AI11" s="18">
        <f t="shared" si="9"/>
        <v>0</v>
      </c>
      <c r="AJ11" s="18">
        <f t="shared" si="10"/>
        <v>6000</v>
      </c>
      <c r="AK11" s="18">
        <f t="shared" si="22"/>
        <v>6000</v>
      </c>
      <c r="AL11" s="18">
        <f t="shared" si="11"/>
        <v>0</v>
      </c>
      <c r="AM11" s="18">
        <f t="shared" si="12"/>
        <v>0</v>
      </c>
      <c r="AN11" s="18">
        <f t="shared" si="13"/>
        <v>0</v>
      </c>
      <c r="AO11" s="18">
        <f t="shared" si="14"/>
        <v>6000</v>
      </c>
      <c r="AP11" s="18">
        <f t="shared" si="23"/>
        <v>6000</v>
      </c>
      <c r="AQ11" s="18">
        <f t="shared" si="15"/>
        <v>0</v>
      </c>
      <c r="AR11" s="18">
        <f t="shared" ca="1" si="4"/>
        <v>0</v>
      </c>
      <c r="AS11" s="19">
        <v>30</v>
      </c>
      <c r="AT11" s="18">
        <f t="shared" ca="1" si="5"/>
        <v>92183.292997177399</v>
      </c>
      <c r="AU11" s="18">
        <f t="shared" ca="1" si="16"/>
        <v>18897.575064421366</v>
      </c>
      <c r="AV11" s="18">
        <f t="shared" ca="1" si="17"/>
        <v>921.83292997177398</v>
      </c>
      <c r="AW11" s="18">
        <f t="shared" ca="1" si="18"/>
        <v>-4609.1646498588698</v>
      </c>
      <c r="AX11" s="18">
        <f t="shared" ca="1" si="19"/>
        <v>107393.53634171168</v>
      </c>
      <c r="BD11" s="17">
        <v>9</v>
      </c>
      <c r="BE11" s="21">
        <v>4.5</v>
      </c>
      <c r="BF11" s="22">
        <v>0.11</v>
      </c>
      <c r="BG11" s="65"/>
    </row>
    <row r="12" spans="1:59" ht="39.950000000000003" customHeight="1" x14ac:dyDescent="0.25">
      <c r="A12" s="50"/>
      <c r="B12" s="50"/>
      <c r="C12" s="51"/>
      <c r="D12" s="51"/>
      <c r="E12" s="51"/>
      <c r="F12" s="51"/>
      <c r="G12" s="51"/>
      <c r="H12" s="51"/>
      <c r="I12" s="51"/>
      <c r="J12" s="66"/>
      <c r="K12" s="51"/>
      <c r="L12" s="51"/>
      <c r="M12" s="51"/>
      <c r="N12" s="51"/>
      <c r="O12" s="51"/>
      <c r="P12" s="62"/>
      <c r="Q12" s="57"/>
      <c r="R12" s="61"/>
      <c r="S12" s="64"/>
      <c r="T12" s="63"/>
      <c r="U12" s="53"/>
      <c r="V12" s="52"/>
      <c r="W12" s="63"/>
      <c r="X12" s="17" t="s">
        <v>24</v>
      </c>
      <c r="Y12" s="18">
        <f t="shared" si="24"/>
        <v>0</v>
      </c>
      <c r="Z12" s="18">
        <f>COUNTIF(Q1,"Ocak")*(AL43)*-1
+COUNTIF(Q1,"Şubat")*(AL44)*-1
+COUNTIF(Q1,"Mart")*(AL45)*-1
+COUNTIF(Q1,"Nisan")*(AL46)*-1
+COUNTIF(Q1,"Mayıs")*(AL47)*-1
+COUNTIF(Q1,"Haziran")*(AL48)*-1
+COUNTIF(Q1,"Temmuz")*(AL49)*-1
+COUNTIF(Q1,"Ağustos")*(AL50)*-1
+COUNTIF(Q1,"Eylül")*(AL51)*-1
+COUNTIF(Q1,"Ekim")*(AL52)*-1
+COUNTIF(Q1,"Kasım")*(AL53)*-1
+COUNTIF(Q1,"Aralık")*(AL54)*-1
+COUNTIF(Q1,"Yıllık Toplam")*(AL55)*-1
+COUNTIF(Q1,"Yıllık Ortalama")*(AL56)*-1</f>
        <v>0</v>
      </c>
      <c r="AA12" s="18" t="s">
        <v>0</v>
      </c>
      <c r="AB12" s="17" t="s">
        <v>0</v>
      </c>
      <c r="AC12" s="18">
        <v>1000</v>
      </c>
      <c r="AD12" s="18">
        <v>1000</v>
      </c>
      <c r="AE12" s="18">
        <f t="shared" ca="1" si="6"/>
        <v>6000</v>
      </c>
      <c r="AF12" s="18">
        <f t="shared" si="1"/>
        <v>6000</v>
      </c>
      <c r="AG12" s="18">
        <f t="shared" si="7"/>
        <v>6000</v>
      </c>
      <c r="AH12" s="18">
        <f t="shared" si="8"/>
        <v>0</v>
      </c>
      <c r="AI12" s="18">
        <f t="shared" si="9"/>
        <v>0</v>
      </c>
      <c r="AJ12" s="18">
        <f t="shared" si="10"/>
        <v>6000</v>
      </c>
      <c r="AK12" s="18">
        <f t="shared" si="22"/>
        <v>6000</v>
      </c>
      <c r="AL12" s="18">
        <f t="shared" si="11"/>
        <v>0</v>
      </c>
      <c r="AM12" s="18">
        <f t="shared" si="12"/>
        <v>0</v>
      </c>
      <c r="AN12" s="18">
        <f t="shared" si="13"/>
        <v>0</v>
      </c>
      <c r="AO12" s="18">
        <f t="shared" si="14"/>
        <v>6000</v>
      </c>
      <c r="AP12" s="18">
        <f t="shared" si="23"/>
        <v>6000</v>
      </c>
      <c r="AQ12" s="18">
        <f t="shared" si="15"/>
        <v>0</v>
      </c>
      <c r="AR12" s="18">
        <f t="shared" ca="1" si="4"/>
        <v>0</v>
      </c>
      <c r="AS12" s="19">
        <v>30</v>
      </c>
      <c r="AT12" s="18">
        <f t="shared" ca="1" si="5"/>
        <v>164948.2929971774</v>
      </c>
      <c r="AU12" s="18">
        <f t="shared" ca="1" si="16"/>
        <v>33814.400064421367</v>
      </c>
      <c r="AV12" s="18">
        <f t="shared" ca="1" si="17"/>
        <v>1649.482929971774</v>
      </c>
      <c r="AW12" s="18">
        <f t="shared" ca="1" si="18"/>
        <v>-8247.4146498588707</v>
      </c>
      <c r="AX12" s="18">
        <f t="shared" ca="1" si="19"/>
        <v>192164.76134171165</v>
      </c>
      <c r="BD12" s="17">
        <v>10</v>
      </c>
      <c r="BE12" s="21">
        <v>5</v>
      </c>
      <c r="BF12" s="22">
        <v>0.12</v>
      </c>
      <c r="BG12" s="65"/>
    </row>
    <row r="13" spans="1:59" ht="39.950000000000003" customHeight="1" x14ac:dyDescent="0.25">
      <c r="A13" s="50"/>
      <c r="B13" s="50"/>
      <c r="C13" s="51"/>
      <c r="D13" s="51"/>
      <c r="E13" s="51"/>
      <c r="F13" s="51"/>
      <c r="G13" s="51"/>
      <c r="H13" s="51"/>
      <c r="I13" s="51"/>
      <c r="J13" s="66"/>
      <c r="K13" s="51"/>
      <c r="L13" s="51"/>
      <c r="M13" s="51"/>
      <c r="N13" s="51"/>
      <c r="O13" s="51"/>
      <c r="P13" s="62"/>
      <c r="Q13" s="57"/>
      <c r="R13" s="61"/>
      <c r="S13" s="64"/>
      <c r="T13" s="63"/>
      <c r="U13" s="53"/>
      <c r="V13" s="52"/>
      <c r="W13" s="63"/>
      <c r="X13" s="17" t="s">
        <v>18</v>
      </c>
      <c r="Y13" s="18">
        <f t="shared" ca="1" si="24"/>
        <v>0</v>
      </c>
      <c r="Z13" s="18">
        <f ca="1">COUNTIF(Q1,"Ocak")*(AP43)*-1
+COUNTIF(Q1,"Şubat")*(AP44)*-1
+COUNTIF(Q1,"Mart")*(AP45)*-1
+COUNTIF(Q1,"Nisan")*(AP46)*-1
+COUNTIF(Q1,"Mayıs")*(AP47)*-1
+COUNTIF(Q1,"Haziran")*(AP48)*-1
+COUNTIF(Q1,"Temmuz")*(AP49)*-1
+COUNTIF(Q1,"Ağustos")*(AP50)*-1
+COUNTIF(Q1,"Eylül")*(AP51)*-1
+COUNTIF(Q1,"Ekim")*(AP52)*-1
+COUNTIF(Q1,"Kasım")*(AP53)*-1
+COUNTIF(Q1,"Aralık")*(AP54)*-1
+COUNTIF(Q1,"Yıllık Toplam")*(AP55)*-1
+COUNTIF(Q1,"Yıllık Ortalama")*(AP56)*-1</f>
        <v>0</v>
      </c>
      <c r="AA13" s="20">
        <f>(23.65%)</f>
        <v>0.23649999999999999</v>
      </c>
      <c r="AB13" s="17" t="s">
        <v>0</v>
      </c>
      <c r="AC13" s="18">
        <v>300</v>
      </c>
      <c r="AD13" s="18">
        <v>300</v>
      </c>
      <c r="AE13" s="18">
        <f ca="1">(AE1+AE2+AE3+AE4+AE5+AE6+AE7+AE8+AE9+AE10+AE11+AE12)</f>
        <v>72000</v>
      </c>
      <c r="AF13" s="18">
        <f t="shared" ref="AF13:AR13" si="25">(AF1+AF2+AF3+AF4+AF5+AF6+AF7+AF8+AF9+AF10+AF11+AF12)</f>
        <v>72000</v>
      </c>
      <c r="AG13" s="18">
        <f t="shared" ref="AG13" si="26">(AG1+AG2+AG3+AG4+AG5+AG6+AG7+AG8+AG9+AG10+AG11+AG12)</f>
        <v>72000</v>
      </c>
      <c r="AH13" s="18">
        <f t="shared" si="25"/>
        <v>0</v>
      </c>
      <c r="AI13" s="18">
        <f t="shared" si="25"/>
        <v>0</v>
      </c>
      <c r="AJ13" s="18">
        <f t="shared" ref="AJ13" si="27">(AJ1+AJ2+AJ3+AJ4+AJ5+AJ6+AJ7+AJ8+AJ9+AJ10+AJ11+AJ12)</f>
        <v>72000</v>
      </c>
      <c r="AK13" s="18">
        <f t="shared" si="25"/>
        <v>72000</v>
      </c>
      <c r="AL13" s="18">
        <f t="shared" si="25"/>
        <v>0</v>
      </c>
      <c r="AM13" s="18">
        <f t="shared" si="25"/>
        <v>0</v>
      </c>
      <c r="AN13" s="18">
        <f t="shared" si="25"/>
        <v>0</v>
      </c>
      <c r="AO13" s="18">
        <f t="shared" ref="AO13" si="28">(AO1+AO2+AO3+AO4+AO5+AO6+AO7+AO8+AO9+AO10+AO11+AO12)</f>
        <v>72000</v>
      </c>
      <c r="AP13" s="18">
        <f t="shared" si="25"/>
        <v>72000</v>
      </c>
      <c r="AQ13" s="18">
        <f t="shared" si="25"/>
        <v>0</v>
      </c>
      <c r="AR13" s="18">
        <f t="shared" ca="1" si="25"/>
        <v>0</v>
      </c>
      <c r="AS13" s="19">
        <f>(AS1+AS2+AS3+AS4+AS5+AS6+AS7+AS8+AS9+AS10+AS11+AS12)</f>
        <v>360</v>
      </c>
      <c r="AT13" s="18">
        <f t="shared" ref="AT13" ca="1" si="29">(AT1+AT2+AT3+AT4+AT5+AT6+AT7+AT8+AT9+AT10+AT11+AT12)</f>
        <v>1190030.7268188256</v>
      </c>
      <c r="AU13" s="18">
        <f t="shared" ref="AU13" ca="1" si="30">(AU1+AU2+AU3+AU4+AU5+AU6+AU7+AU8+AU9+AU10+AU11+AU12)</f>
        <v>243956.29899785918</v>
      </c>
      <c r="AV13" s="18">
        <f t="shared" ref="AV13" ca="1" si="31">(AV1+AV2+AV3+AV4+AV5+AV6+AV7+AV8+AV9+AV10+AV11+AV12)</f>
        <v>11900.307268188251</v>
      </c>
      <c r="AW13" s="18">
        <f t="shared" ref="AW13" ca="1" si="32">(AW1+AW2+AW3+AW4+AW5+AW6+AW7+AW8+AW9+AW10+AW11+AW12)</f>
        <v>-59501.536340941253</v>
      </c>
      <c r="AX13" s="18">
        <f t="shared" ref="AX13" ca="1" si="33">(AX1+AX2+AX3+AX4+AX5+AX6+AX7+AX8+AX9+AX10+AX11+AX12)</f>
        <v>1386385.7967439315</v>
      </c>
      <c r="BD13" s="17">
        <v>11</v>
      </c>
      <c r="BE13" s="21">
        <v>5.5</v>
      </c>
      <c r="BF13" s="22">
        <v>0.13</v>
      </c>
      <c r="BG13" s="65"/>
    </row>
    <row r="14" spans="1:59" ht="39.950000000000003" customHeight="1" x14ac:dyDescent="0.25">
      <c r="A14" s="50"/>
      <c r="B14" s="50"/>
      <c r="C14" s="51"/>
      <c r="D14" s="51"/>
      <c r="E14" s="51"/>
      <c r="F14" s="51"/>
      <c r="G14" s="51"/>
      <c r="H14" s="51"/>
      <c r="I14" s="51"/>
      <c r="J14" s="66"/>
      <c r="K14" s="51"/>
      <c r="L14" s="51"/>
      <c r="M14" s="51"/>
      <c r="N14" s="51"/>
      <c r="O14" s="51"/>
      <c r="P14" s="62"/>
      <c r="Q14" s="57"/>
      <c r="R14" s="61"/>
      <c r="S14" s="64"/>
      <c r="T14" s="63"/>
      <c r="U14" s="53"/>
      <c r="V14" s="52"/>
      <c r="W14" s="63"/>
      <c r="X14" s="17" t="s">
        <v>19</v>
      </c>
      <c r="Y14" s="18">
        <f t="shared" ca="1" si="24"/>
        <v>456.45673471290701</v>
      </c>
      <c r="Z14" s="18">
        <f ca="1">COUNTIF(Q1,"Ocak")*(AH73)*-1
+COUNTIF(Q1,"Şubat")*(AH74)*-1
+COUNTIF(Q1,"Mart")*(AH75)*-1
+COUNTIF(Q1,"Nisan")*(AH76)*-1
+COUNTIF(Q1,"Mayıs")*(AH77)*-1
+COUNTIF(Q1,"Haziran")*(AH78)*-1
+COUNTIF(Q1,"Temmuz")*(AH79)*-1
+COUNTIF(Q1,"Ağustos")*(AH80)*-1
+COUNTIF(Q1,"Eylül")*(AH81)*-1
+COUNTIF(Q1,"Ekim")*(AH82)*-1
+COUNTIF(Q1,"Kasım")*(AH83)*-1
+COUNTIF(Q1,"Aralık")*(AH84)*-1
+COUNTIF(Q1,"Yıllık Toplam")*(AH85)*-1
+COUNTIF(Q1,"Yıllık Ortalama")*(AH86)*-1</f>
        <v>456.45673471290701</v>
      </c>
      <c r="AA14" s="18" t="s">
        <v>0</v>
      </c>
      <c r="AB14" s="17" t="s">
        <v>0</v>
      </c>
      <c r="AC14" s="18">
        <v>300</v>
      </c>
      <c r="AD14" s="18">
        <v>300</v>
      </c>
      <c r="AE14" s="18">
        <f ca="1">(AE13/12)</f>
        <v>6000</v>
      </c>
      <c r="AF14" s="18">
        <f t="shared" ref="AF14:AR14" si="34">(AF13/12)</f>
        <v>6000</v>
      </c>
      <c r="AG14" s="18">
        <f t="shared" ref="AG14" si="35">(AG13/12)</f>
        <v>6000</v>
      </c>
      <c r="AH14" s="18">
        <f t="shared" si="34"/>
        <v>0</v>
      </c>
      <c r="AI14" s="18">
        <f t="shared" si="34"/>
        <v>0</v>
      </c>
      <c r="AJ14" s="18">
        <f t="shared" ref="AJ14" si="36">(AJ13/12)</f>
        <v>6000</v>
      </c>
      <c r="AK14" s="18">
        <f t="shared" si="34"/>
        <v>6000</v>
      </c>
      <c r="AL14" s="18">
        <f t="shared" si="34"/>
        <v>0</v>
      </c>
      <c r="AM14" s="18">
        <f t="shared" si="34"/>
        <v>0</v>
      </c>
      <c r="AN14" s="18">
        <f t="shared" si="34"/>
        <v>0</v>
      </c>
      <c r="AO14" s="18">
        <f t="shared" ref="AO14" si="37">(AO13/12)</f>
        <v>6000</v>
      </c>
      <c r="AP14" s="18">
        <f t="shared" si="34"/>
        <v>6000</v>
      </c>
      <c r="AQ14" s="18">
        <f t="shared" si="34"/>
        <v>0</v>
      </c>
      <c r="AR14" s="18">
        <f t="shared" ca="1" si="34"/>
        <v>0</v>
      </c>
      <c r="AS14" s="23" t="s">
        <v>0</v>
      </c>
      <c r="AT14" s="18">
        <f t="shared" ref="AT14" ca="1" si="38">(AT13/12)</f>
        <v>99169.227234902137</v>
      </c>
      <c r="AU14" s="18">
        <f t="shared" ref="AU14" ca="1" si="39">(AU13/12)</f>
        <v>20329.69158315493</v>
      </c>
      <c r="AV14" s="18">
        <f t="shared" ref="AV14" ca="1" si="40">(AV13/12)</f>
        <v>991.69227234902098</v>
      </c>
      <c r="AW14" s="18">
        <f t="shared" ref="AW14" ca="1" si="41">(AW13/12)</f>
        <v>-4958.4613617451041</v>
      </c>
      <c r="AX14" s="18">
        <f t="shared" ref="AX14" ca="1" si="42">(AX13/12)</f>
        <v>115532.14972866095</v>
      </c>
      <c r="BD14" s="17">
        <v>12</v>
      </c>
      <c r="BE14" s="21">
        <v>6</v>
      </c>
      <c r="BF14" s="22">
        <v>0.14000000000000001</v>
      </c>
      <c r="BG14" s="65"/>
    </row>
    <row r="15" spans="1:59" ht="39.950000000000003" customHeight="1" x14ac:dyDescent="0.25">
      <c r="A15" s="4">
        <f t="shared" ref="A15:A26" ca="1" si="43">(AT73)</f>
        <v>0.15</v>
      </c>
      <c r="B15" s="5" t="s">
        <v>70</v>
      </c>
      <c r="C15" s="45">
        <v>52490</v>
      </c>
      <c r="D15" s="7">
        <f t="shared" ref="D15:D26" ca="1" si="44">(C15*AY73)</f>
        <v>37525.625899999999</v>
      </c>
      <c r="E15" s="6">
        <f t="shared" ref="E15:E26" si="45">(C15/30)</f>
        <v>1749.6666666666667</v>
      </c>
      <c r="F15" s="7">
        <f t="shared" ref="F15:F26" ca="1" si="46">(E15*AY73)</f>
        <v>1250.8541966666669</v>
      </c>
      <c r="G15" s="46">
        <v>5730.11</v>
      </c>
      <c r="H15" s="47">
        <v>0</v>
      </c>
      <c r="I15" s="47">
        <v>0</v>
      </c>
      <c r="J15" s="47">
        <v>0</v>
      </c>
      <c r="K15" s="48">
        <v>20</v>
      </c>
      <c r="L15" s="49">
        <v>0</v>
      </c>
      <c r="M15" s="49" t="s">
        <v>1</v>
      </c>
      <c r="N15" s="8">
        <f t="shared" ref="N15:N26" ca="1" si="47">(AE73+AL43+AN43+AH73+AL73+AM73+AV73-O15)</f>
        <v>48832.170226735732</v>
      </c>
      <c r="O15" s="8">
        <f t="shared" ref="O15:O26" ca="1" si="48">(AP15+AR15+AE29+AH29+AE1+AO43)</f>
        <v>6000</v>
      </c>
      <c r="P15" s="9">
        <f ca="1">(N15+O15)</f>
        <v>54832.170226735732</v>
      </c>
      <c r="Q15" s="57"/>
      <c r="R15" s="61"/>
      <c r="S15" s="64"/>
      <c r="T15" s="63"/>
      <c r="U15" s="53"/>
      <c r="V15" s="52"/>
      <c r="W15" s="63"/>
      <c r="X15" s="17" t="s">
        <v>4</v>
      </c>
      <c r="Y15" s="18">
        <f t="shared" ca="1" si="24"/>
        <v>13043.691812886294</v>
      </c>
      <c r="Z15" s="18">
        <f ca="1">COUNTIF(Q1,"Ocak")*(AL73)*-1
+COUNTIF(Q1,"Şubat")*(AL74)*-1
+COUNTIF(Q1,"Mart")*(AL75)*-1
+COUNTIF(Q1,"Nisan")*(AL76)*-1
+COUNTIF(Q1,"Mayıs")*(AL77)*-1
+COUNTIF(Q1,"Haziran")*(AL78)*-1
+COUNTIF(Q1,"Temmuz")*(AL79)*-1
+COUNTIF(Q1,"Ağustos")*(AL80)*-1
+COUNTIF(Q1,"Eylül")*(AL81)*-1
+COUNTIF(Q1,"Ekim")*(AL82)*-1
+COUNTIF(Q1,"Kasım")*(AL83)*-1
+COUNTIF(Q1,"Aralık")*(AL84)*-1
+COUNTIF(Q1,"Yıllık Toplam")*(AL85)*-1
+COUNTIF(Q1,"Yıllık Ortalama")*(AL86)*-1</f>
        <v>13043.691812886294</v>
      </c>
      <c r="AE15" s="24">
        <v>46023</v>
      </c>
      <c r="AF15" s="25">
        <f t="shared" ref="AF15:AF26" si="49">EOMONTH(AE15,0)</f>
        <v>46053</v>
      </c>
      <c r="AG15" s="26">
        <f>COUNTIF($A$1,"Amir")*(DAY(AF15))
+COUNTIF($A$1,"Gişe")*(DAY(AF15))
+COUNTIF($A$1,"Çıma")*(DAY(AF15))
+COUNTIF($A$1,"Ustabaşı")*(DAY(AF15))
+COUNTIF($A$1,"İtfaiye Amiri")*(DAY(AF15))
+COUNTIF($A$1,"Usta")*(DAY(AF15))
+COUNTIF($A$1,"Vinç Operatörü")*(DAY(AF15))
+COUNTIF($A$1,"Forklift Operatörü")*(DAY(AF15))
+COUNTIF($A$1,"İtfaiyeci")*(DAY(AF15))
+COUNTIF($A$1,"Usta Yardımcısı")*(DAY(AF15))
+COUNTIF($A$1,"Gemi Havuzlama Personeli")*(DAY(AF15))
+COUNTIF($A$1,"Yakıt Yağ ve Atık Personeli")*(DAY(AF15))
+COUNTIF($A$1,"Tersane Saha Personeli")*(DAY(AF15))</f>
        <v>0</v>
      </c>
      <c r="AH15" s="26">
        <f>NETWORKDAYS.INTL(AE15,AF15,11)</f>
        <v>27</v>
      </c>
      <c r="AI15" s="26">
        <f>(AG15-AH15)</f>
        <v>-27</v>
      </c>
      <c r="AJ15" s="27">
        <f t="shared" ref="AJ15:AJ26" si="50">(C15)</f>
        <v>52490</v>
      </c>
      <c r="AK15" s="18">
        <f t="shared" ref="AK15:AK26" ca="1" si="51">(AJ15*AY73)</f>
        <v>37525.625899999999</v>
      </c>
      <c r="AL15" s="28">
        <v>0</v>
      </c>
      <c r="AM15" s="18">
        <f>(0*AL15)</f>
        <v>0</v>
      </c>
      <c r="AN15" s="18">
        <f t="shared" ref="AN15:AN26" ca="1" si="52">(AM15*AY73)</f>
        <v>0</v>
      </c>
      <c r="AO15" s="18">
        <f t="shared" ref="AO15:AO26" si="53">(C15/30/7.5*1.5*H15)</f>
        <v>0</v>
      </c>
      <c r="AP15" s="18">
        <f t="shared" ref="AP15:AP26" ca="1" si="54">(AO15*AY73)</f>
        <v>0</v>
      </c>
      <c r="AQ15" s="18">
        <f t="shared" ref="AQ15:AQ26" si="55">(C15/30/7.5*1.25*I15)</f>
        <v>0</v>
      </c>
      <c r="AR15" s="18">
        <f t="shared" ref="AR15:AR26" ca="1" si="56">(AQ15*AY73)</f>
        <v>0</v>
      </c>
      <c r="AS15" s="18">
        <f t="shared" ref="AS15:AS26" si="57">(C15/30/7.5*2*J15)</f>
        <v>0</v>
      </c>
      <c r="BD15" s="17">
        <v>13</v>
      </c>
      <c r="BE15" s="21">
        <v>6.5</v>
      </c>
      <c r="BF15" s="22">
        <v>0.15</v>
      </c>
      <c r="BG15" s="65"/>
    </row>
    <row r="16" spans="1:59" ht="39.950000000000003" customHeight="1" x14ac:dyDescent="0.25">
      <c r="A16" s="4">
        <f t="shared" ca="1" si="43"/>
        <v>0.15</v>
      </c>
      <c r="B16" s="5" t="s">
        <v>71</v>
      </c>
      <c r="C16" s="45">
        <v>52490</v>
      </c>
      <c r="D16" s="7">
        <f t="shared" ca="1" si="44"/>
        <v>37525.625899999999</v>
      </c>
      <c r="E16" s="6">
        <f t="shared" si="45"/>
        <v>1749.6666666666667</v>
      </c>
      <c r="F16" s="7">
        <f t="shared" ca="1" si="46"/>
        <v>1250.8541966666669</v>
      </c>
      <c r="G16" s="46">
        <v>5730.11</v>
      </c>
      <c r="H16" s="47">
        <v>0</v>
      </c>
      <c r="I16" s="47">
        <v>0</v>
      </c>
      <c r="J16" s="47">
        <v>0</v>
      </c>
      <c r="K16" s="48">
        <v>20</v>
      </c>
      <c r="L16" s="49">
        <v>0</v>
      </c>
      <c r="M16" s="49" t="s">
        <v>1</v>
      </c>
      <c r="N16" s="8">
        <f t="shared" ca="1" si="47"/>
        <v>49107.164861724748</v>
      </c>
      <c r="O16" s="8">
        <f t="shared" ca="1" si="48"/>
        <v>6000</v>
      </c>
      <c r="P16" s="9">
        <f t="shared" ref="P16:P26" ca="1" si="58">(N16+O16)</f>
        <v>55107.164861724748</v>
      </c>
      <c r="Q16" s="57"/>
      <c r="R16" s="61"/>
      <c r="S16" s="64"/>
      <c r="T16" s="63"/>
      <c r="U16" s="53"/>
      <c r="V16" s="52"/>
      <c r="W16" s="63"/>
      <c r="X16" s="17" t="s">
        <v>5</v>
      </c>
      <c r="Y16" s="18">
        <f t="shared" ca="1" si="24"/>
        <v>931.69227234902098</v>
      </c>
      <c r="Z16" s="18">
        <f ca="1">COUNTIF(Q1,"Ocak")*(AM73)*-1
+COUNTIF(Q1,"Şubat")*(AM74)*-1
+COUNTIF(Q1,"Mart")*(AM75)*-1
+COUNTIF(Q1,"Nisan")*(AM76)*-1
+COUNTIF(Q1,"Mayıs")*(AM77)*-1
+COUNTIF(Q1,"Haziran")*(AM78)*-1
+COUNTIF(Q1,"Temmuz")*(AM79)*-1
+COUNTIF(Q1,"Ağustos")*(AM80)*-1
+COUNTIF(Q1,"Eylül")*(AM81)*-1
+COUNTIF(Q1,"Ekim")*(AM82)*-1
+COUNTIF(Q1,"Kasım")*(AM83)*-1
+COUNTIF(Q1,"Aralık")*(AM84)*-1
+COUNTIF(Q1,"Yıllık Toplam")*(AM85)*-1
+COUNTIF(Q1,"Yıllık Ortalama")*(AM86)*-1</f>
        <v>931.69227234902098</v>
      </c>
      <c r="AA16" s="29">
        <f>(2273)</f>
        <v>2273</v>
      </c>
      <c r="AB16" s="17" t="s">
        <v>0</v>
      </c>
      <c r="AC16" s="18">
        <f>($AA$29*$AA$16)</f>
        <v>3154.6307830000001</v>
      </c>
      <c r="AD16" s="18">
        <f>($AB$29*$AA$16)</f>
        <v>3581.1387760000002</v>
      </c>
      <c r="AE16" s="25">
        <f>(AF15+1)</f>
        <v>46054</v>
      </c>
      <c r="AF16" s="25">
        <f t="shared" si="49"/>
        <v>46081</v>
      </c>
      <c r="AG16" s="26">
        <f t="shared" ref="AG16:AG26" si="59">COUNTIF($A$1,"Amir")*(DAY(AF16))
+COUNTIF($A$1,"Gişe")*(DAY(AF16))
+COUNTIF($A$1,"Çıma")*(DAY(AF16))
+COUNTIF($A$1,"Ustabaşı")*(DAY(AF16))
+COUNTIF($A$1,"İtfaiye Amiri")*(DAY(AF16))
+COUNTIF($A$1,"Usta")*(DAY(AF16))
+COUNTIF($A$1,"Vinç Operatörü")*(DAY(AF16))
+COUNTIF($A$1,"Forklift Operatörü")*(DAY(AF16))
+COUNTIF($A$1,"İtfaiyeci")*(DAY(AF16))
+COUNTIF($A$1,"Usta Yardımcısı")*(DAY(AF16))
+COUNTIF($A$1,"Gemi Havuzlama Personeli")*(DAY(AF16))
+COUNTIF($A$1,"Yakıt Yağ ve Atık Personeli")*(DAY(AF16))
+COUNTIF($A$1,"Tersane Saha Personeli")*(DAY(AF16))</f>
        <v>0</v>
      </c>
      <c r="AH16" s="26">
        <f t="shared" ref="AH16:AH26" si="60">NETWORKDAYS.INTL(AE16,AF16,11)</f>
        <v>24</v>
      </c>
      <c r="AI16" s="26">
        <f t="shared" ref="AI16:AI26" si="61">(AG16-AH16)</f>
        <v>-24</v>
      </c>
      <c r="AJ16" s="27">
        <f t="shared" si="50"/>
        <v>52490</v>
      </c>
      <c r="AK16" s="18">
        <f t="shared" ca="1" si="51"/>
        <v>37525.625899999999</v>
      </c>
      <c r="AL16" s="28">
        <v>0</v>
      </c>
      <c r="AM16" s="18">
        <f t="shared" ref="AM16:AM26" si="62">(0*AL16)</f>
        <v>0</v>
      </c>
      <c r="AN16" s="18">
        <f t="shared" ca="1" si="52"/>
        <v>0</v>
      </c>
      <c r="AO16" s="18">
        <f t="shared" si="53"/>
        <v>0</v>
      </c>
      <c r="AP16" s="18">
        <f t="shared" ca="1" si="54"/>
        <v>0</v>
      </c>
      <c r="AQ16" s="18">
        <f t="shared" si="55"/>
        <v>0</v>
      </c>
      <c r="AR16" s="18">
        <f t="shared" ca="1" si="56"/>
        <v>0</v>
      </c>
      <c r="AS16" s="18">
        <f t="shared" si="57"/>
        <v>0</v>
      </c>
      <c r="BD16" s="17">
        <v>14</v>
      </c>
      <c r="BE16" s="21">
        <v>7</v>
      </c>
      <c r="BF16" s="22">
        <v>0.16</v>
      </c>
      <c r="BG16" s="65"/>
    </row>
    <row r="17" spans="1:59" ht="39.950000000000003" customHeight="1" x14ac:dyDescent="0.25">
      <c r="A17" s="4">
        <f t="shared" ca="1" si="43"/>
        <v>0.15708446135075588</v>
      </c>
      <c r="B17" s="5" t="s">
        <v>72</v>
      </c>
      <c r="C17" s="45">
        <v>52490</v>
      </c>
      <c r="D17" s="7">
        <f t="shared" ca="1" si="44"/>
        <v>37209.542030143995</v>
      </c>
      <c r="E17" s="6">
        <f t="shared" si="45"/>
        <v>1749.6666666666667</v>
      </c>
      <c r="F17" s="7">
        <f t="shared" ca="1" si="46"/>
        <v>1240.3180676714667</v>
      </c>
      <c r="G17" s="46">
        <v>5730.11</v>
      </c>
      <c r="H17" s="47">
        <v>0</v>
      </c>
      <c r="I17" s="47">
        <v>0</v>
      </c>
      <c r="J17" s="47">
        <v>0</v>
      </c>
      <c r="K17" s="48">
        <v>20</v>
      </c>
      <c r="L17" s="49">
        <v>0</v>
      </c>
      <c r="M17" s="49" t="s">
        <v>1</v>
      </c>
      <c r="N17" s="8">
        <f t="shared" ca="1" si="47"/>
        <v>86241.122318082285</v>
      </c>
      <c r="O17" s="8">
        <f t="shared" ca="1" si="48"/>
        <v>6000</v>
      </c>
      <c r="P17" s="9">
        <f t="shared" ca="1" si="58"/>
        <v>92241.122318082285</v>
      </c>
      <c r="Q17" s="57"/>
      <c r="R17" s="61"/>
      <c r="S17" s="64"/>
      <c r="T17" s="63"/>
      <c r="U17" s="53"/>
      <c r="V17" s="52"/>
      <c r="W17" s="63"/>
      <c r="X17" s="17" t="s">
        <v>20</v>
      </c>
      <c r="Y17" s="18">
        <f t="shared" ca="1" si="24"/>
        <v>13433.902499999998</v>
      </c>
      <c r="Z17" s="18">
        <f ca="1">COUNTIF(Q1,"Ocak")*(AV73)*-1
+COUNTIF(Q1,"Şubat")*(AV74)*-1
+COUNTIF(Q1,"Mart")*(AV75)*-1
+COUNTIF(Q1,"Nisan")*(AV76)*-1
+COUNTIF(Q1,"Mayıs")*(AV77)*-1
+COUNTIF(Q1,"Haziran")*(AV78)*-1
+COUNTIF(Q1,"Temmuz")*(AV79)*-1
+COUNTIF(Q1,"Ağustos")*(AV80)*-1
+COUNTIF(Q1,"Eylül")*(AV81)*-1
+COUNTIF(Q1,"Ekim")*(AV82)*-1
+COUNTIF(Q1,"Kasım")*(AV83)*-1
+COUNTIF(Q1,"Aralık")*(AV84)*-1
+COUNTIF(Q1,"Yıllık Toplam")*(AV85)*-1
+COUNTIF(Q1,"Yıllık Ortalama")*(AV86)*-1</f>
        <v>13433.902499999998</v>
      </c>
      <c r="AA17" s="29">
        <f>(250)</f>
        <v>250</v>
      </c>
      <c r="AB17" s="17" t="s">
        <v>0</v>
      </c>
      <c r="AC17" s="18">
        <f>($AA$29*$AA$17*2)</f>
        <v>693.93550000000005</v>
      </c>
      <c r="AD17" s="18">
        <f>($AB$29*$AA$17*2)</f>
        <v>787.75599999999997</v>
      </c>
      <c r="AE17" s="25">
        <f t="shared" ref="AE17:AE26" si="63">(AF16+1)</f>
        <v>46082</v>
      </c>
      <c r="AF17" s="25">
        <f t="shared" si="49"/>
        <v>46112</v>
      </c>
      <c r="AG17" s="26">
        <f t="shared" si="59"/>
        <v>0</v>
      </c>
      <c r="AH17" s="26">
        <f t="shared" si="60"/>
        <v>26</v>
      </c>
      <c r="AI17" s="26">
        <f t="shared" si="61"/>
        <v>-26</v>
      </c>
      <c r="AJ17" s="27">
        <f t="shared" si="50"/>
        <v>52490</v>
      </c>
      <c r="AK17" s="18">
        <f t="shared" ca="1" si="51"/>
        <v>37209.542030143995</v>
      </c>
      <c r="AL17" s="28">
        <v>0</v>
      </c>
      <c r="AM17" s="18">
        <f t="shared" si="62"/>
        <v>0</v>
      </c>
      <c r="AN17" s="18">
        <f t="shared" ca="1" si="52"/>
        <v>0</v>
      </c>
      <c r="AO17" s="18">
        <f t="shared" si="53"/>
        <v>0</v>
      </c>
      <c r="AP17" s="18">
        <f t="shared" ca="1" si="54"/>
        <v>0</v>
      </c>
      <c r="AQ17" s="18">
        <f t="shared" si="55"/>
        <v>0</v>
      </c>
      <c r="AR17" s="18">
        <f t="shared" ca="1" si="56"/>
        <v>0</v>
      </c>
      <c r="AS17" s="18">
        <f t="shared" si="57"/>
        <v>0</v>
      </c>
      <c r="BD17" s="17">
        <v>15</v>
      </c>
      <c r="BE17" s="21">
        <v>7.5</v>
      </c>
      <c r="BF17" s="22">
        <v>0.17</v>
      </c>
      <c r="BG17" s="65"/>
    </row>
    <row r="18" spans="1:59" ht="39.950000000000003" customHeight="1" x14ac:dyDescent="0.25">
      <c r="A18" s="4">
        <f t="shared" ca="1" si="43"/>
        <v>0.2</v>
      </c>
      <c r="B18" s="5" t="s">
        <v>73</v>
      </c>
      <c r="C18" s="45">
        <v>52490</v>
      </c>
      <c r="D18" s="7">
        <f t="shared" ca="1" si="44"/>
        <v>35294.800899999995</v>
      </c>
      <c r="E18" s="6">
        <f t="shared" si="45"/>
        <v>1749.6666666666667</v>
      </c>
      <c r="F18" s="7">
        <f t="shared" ca="1" si="46"/>
        <v>1176.4933633333333</v>
      </c>
      <c r="G18" s="46">
        <v>5730.11</v>
      </c>
      <c r="H18" s="47">
        <v>0</v>
      </c>
      <c r="I18" s="47">
        <v>0</v>
      </c>
      <c r="J18" s="47">
        <v>0</v>
      </c>
      <c r="K18" s="48">
        <v>20</v>
      </c>
      <c r="L18" s="49">
        <v>0</v>
      </c>
      <c r="M18" s="49" t="s">
        <v>1</v>
      </c>
      <c r="N18" s="8">
        <f t="shared" ca="1" si="47"/>
        <v>46907.807319907333</v>
      </c>
      <c r="O18" s="8">
        <f t="shared" ca="1" si="48"/>
        <v>6000</v>
      </c>
      <c r="P18" s="9">
        <f t="shared" ca="1" si="58"/>
        <v>52907.807319907333</v>
      </c>
      <c r="Q18" s="57"/>
      <c r="R18" s="61"/>
      <c r="S18" s="64"/>
      <c r="T18" s="63"/>
      <c r="U18" s="53"/>
      <c r="V18" s="52"/>
      <c r="W18" s="63"/>
      <c r="X18" s="17" t="s">
        <v>56</v>
      </c>
      <c r="Y18" s="18">
        <f t="shared" ca="1" si="24"/>
        <v>115532.14972866095</v>
      </c>
      <c r="Z18" s="18">
        <f ca="1">COUNTIF(Q1,"Ocak")*(AX1)
+COUNTIF(Q1,"Şubat")*(AX2)
+COUNTIF(Q1,"Mart")*(AX3)
+COUNTIF(Q1,"Nisan")*(AX4)
+COUNTIF(Q1,"Mayıs")*(AX5)
+COUNTIF(Q1,"Haziran")*(AX6)
+COUNTIF(Q1,"Temmuz")*(AX7)
+COUNTIF(Q1,"Ağustos")*(AX8)
+COUNTIF(Q1,"Eylül")*(AX9)
+COUNTIF(Q1,"Ekim")*(AX10)
+COUNTIF(Q1,"Kasım")*(AX11)
+COUNTIF(Q1,"Aralık")*(AX12)
+COUNTIF(Q1,"Yıllık Toplam")*(AX13)
+COUNTIF(Q1,"Yıllık Ortalama")*(AX14)</f>
        <v>115532.14972866095</v>
      </c>
      <c r="AA18" s="29">
        <f>(AA17)</f>
        <v>250</v>
      </c>
      <c r="AB18" s="17" t="s">
        <v>0</v>
      </c>
      <c r="AC18" s="18">
        <f>($AA$29*$AA$18)</f>
        <v>346.96775000000002</v>
      </c>
      <c r="AD18" s="18">
        <f>($AB$29*$AA$18)</f>
        <v>393.87799999999999</v>
      </c>
      <c r="AE18" s="25">
        <f t="shared" si="63"/>
        <v>46113</v>
      </c>
      <c r="AF18" s="25">
        <f t="shared" si="49"/>
        <v>46142</v>
      </c>
      <c r="AG18" s="26">
        <f t="shared" si="59"/>
        <v>0</v>
      </c>
      <c r="AH18" s="26">
        <f t="shared" si="60"/>
        <v>26</v>
      </c>
      <c r="AI18" s="26">
        <f t="shared" si="61"/>
        <v>-26</v>
      </c>
      <c r="AJ18" s="27">
        <f t="shared" si="50"/>
        <v>52490</v>
      </c>
      <c r="AK18" s="18">
        <f t="shared" ca="1" si="51"/>
        <v>35294.800899999995</v>
      </c>
      <c r="AL18" s="28">
        <v>0</v>
      </c>
      <c r="AM18" s="18">
        <f t="shared" si="62"/>
        <v>0</v>
      </c>
      <c r="AN18" s="18">
        <f t="shared" ca="1" si="52"/>
        <v>0</v>
      </c>
      <c r="AO18" s="18">
        <f t="shared" si="53"/>
        <v>0</v>
      </c>
      <c r="AP18" s="18">
        <f t="shared" ca="1" si="54"/>
        <v>0</v>
      </c>
      <c r="AQ18" s="18">
        <f t="shared" si="55"/>
        <v>0</v>
      </c>
      <c r="AR18" s="18">
        <f t="shared" ca="1" si="56"/>
        <v>0</v>
      </c>
      <c r="AS18" s="18">
        <f t="shared" si="57"/>
        <v>0</v>
      </c>
      <c r="BD18" s="17">
        <v>16</v>
      </c>
      <c r="BE18" s="21">
        <v>8</v>
      </c>
      <c r="BF18" s="22">
        <v>0.18</v>
      </c>
      <c r="BG18" s="65"/>
    </row>
    <row r="19" spans="1:59" ht="39.950000000000003" customHeight="1" x14ac:dyDescent="0.25">
      <c r="A19" s="4">
        <f t="shared" ca="1" si="43"/>
        <v>0.2</v>
      </c>
      <c r="B19" s="5" t="s">
        <v>74</v>
      </c>
      <c r="C19" s="45">
        <v>52490</v>
      </c>
      <c r="D19" s="7">
        <f t="shared" ca="1" si="44"/>
        <v>35294.800899999995</v>
      </c>
      <c r="E19" s="6">
        <f t="shared" si="45"/>
        <v>1749.6666666666667</v>
      </c>
      <c r="F19" s="7">
        <f t="shared" ca="1" si="46"/>
        <v>1176.4933633333333</v>
      </c>
      <c r="G19" s="46">
        <v>5730.11</v>
      </c>
      <c r="H19" s="47">
        <v>0</v>
      </c>
      <c r="I19" s="47">
        <v>0</v>
      </c>
      <c r="J19" s="47">
        <v>0</v>
      </c>
      <c r="K19" s="48">
        <v>20</v>
      </c>
      <c r="L19" s="49">
        <v>0</v>
      </c>
      <c r="M19" s="49" t="s">
        <v>1</v>
      </c>
      <c r="N19" s="8">
        <f t="shared" ca="1" si="47"/>
        <v>46907.807319907333</v>
      </c>
      <c r="O19" s="8">
        <f t="shared" ca="1" si="48"/>
        <v>6000</v>
      </c>
      <c r="P19" s="9">
        <f t="shared" ca="1" si="58"/>
        <v>52907.807319907333</v>
      </c>
      <c r="Q19" s="57"/>
      <c r="R19" s="61"/>
      <c r="S19" s="64"/>
      <c r="T19" s="63"/>
      <c r="U19" s="53"/>
      <c r="V19" s="52"/>
      <c r="W19" s="63"/>
      <c r="X19" s="30" t="s">
        <v>29</v>
      </c>
      <c r="Y19" s="18">
        <f t="shared" ca="1" si="24"/>
        <v>71303.483914953875</v>
      </c>
      <c r="Z19" s="18">
        <f ca="1">COUNTIF(Q1,"Ocak")*P15
+COUNTIF(Q1,"Şubat")*P16
+COUNTIF(Q1,"Mart")*P17
+COUNTIF(Q1,"Nisan")*P18
+COUNTIF(Q1,"Mayıs")*P19
+COUNTIF(Q1,"Haziran")*P20
+COUNTIF(Q1,"Temmuz")*P21
+COUNTIF(Q1,"Ağustos")*P22
+COUNTIF(Q1,"Eylül")*P23
+COUNTIF(Q1,"Ekim")*P24
+COUNTIF(Q1,"Kasım")*P25
+COUNTIF(Q1,"Aralık")*P26
+COUNTIF(Q1,"Yıllık Toplam")*(P27)*-1
+COUNTIF(Q1,"Yıllık Ortalama")*(P28)*-1</f>
        <v>-71303.483914953875</v>
      </c>
      <c r="AA19" s="30">
        <f>(1.5)</f>
        <v>1.5</v>
      </c>
      <c r="AB19" s="17" t="s">
        <v>0</v>
      </c>
      <c r="AC19" s="18">
        <f>($AC$17*$AA$19)</f>
        <v>1040.9032500000001</v>
      </c>
      <c r="AD19" s="18">
        <f>($AD$17*$AA$19)</f>
        <v>1181.634</v>
      </c>
      <c r="AE19" s="25">
        <f t="shared" si="63"/>
        <v>46143</v>
      </c>
      <c r="AF19" s="25">
        <f t="shared" si="49"/>
        <v>46173</v>
      </c>
      <c r="AG19" s="26">
        <f t="shared" si="59"/>
        <v>0</v>
      </c>
      <c r="AH19" s="26">
        <f t="shared" si="60"/>
        <v>26</v>
      </c>
      <c r="AI19" s="26">
        <f t="shared" si="61"/>
        <v>-26</v>
      </c>
      <c r="AJ19" s="27">
        <f t="shared" si="50"/>
        <v>52490</v>
      </c>
      <c r="AK19" s="18">
        <f t="shared" ca="1" si="51"/>
        <v>35294.800899999995</v>
      </c>
      <c r="AL19" s="28">
        <v>0</v>
      </c>
      <c r="AM19" s="18">
        <f t="shared" si="62"/>
        <v>0</v>
      </c>
      <c r="AN19" s="18">
        <f t="shared" ca="1" si="52"/>
        <v>0</v>
      </c>
      <c r="AO19" s="18">
        <f t="shared" si="53"/>
        <v>0</v>
      </c>
      <c r="AP19" s="18">
        <f t="shared" ca="1" si="54"/>
        <v>0</v>
      </c>
      <c r="AQ19" s="18">
        <f t="shared" si="55"/>
        <v>0</v>
      </c>
      <c r="AR19" s="18">
        <f t="shared" ca="1" si="56"/>
        <v>0</v>
      </c>
      <c r="AS19" s="18">
        <f t="shared" si="57"/>
        <v>0</v>
      </c>
      <c r="BD19" s="17">
        <v>17</v>
      </c>
      <c r="BE19" s="21">
        <v>8.5</v>
      </c>
      <c r="BF19" s="22">
        <v>0.19</v>
      </c>
      <c r="BG19" s="65"/>
    </row>
    <row r="20" spans="1:59" ht="39.950000000000003" customHeight="1" x14ac:dyDescent="0.25">
      <c r="A20" s="4">
        <f t="shared" ca="1" si="43"/>
        <v>0.20677485642836591</v>
      </c>
      <c r="B20" s="5" t="s">
        <v>75</v>
      </c>
      <c r="C20" s="45">
        <v>52490</v>
      </c>
      <c r="D20" s="7">
        <f t="shared" ca="1" si="44"/>
        <v>34992.53051816381</v>
      </c>
      <c r="E20" s="6">
        <f t="shared" si="45"/>
        <v>1749.6666666666667</v>
      </c>
      <c r="F20" s="7">
        <f t="shared" ca="1" si="46"/>
        <v>1166.4176839387937</v>
      </c>
      <c r="G20" s="46">
        <v>5730.11</v>
      </c>
      <c r="H20" s="47">
        <v>0</v>
      </c>
      <c r="I20" s="47">
        <v>0</v>
      </c>
      <c r="J20" s="47">
        <v>0</v>
      </c>
      <c r="K20" s="48">
        <v>20</v>
      </c>
      <c r="L20" s="49">
        <v>0</v>
      </c>
      <c r="M20" s="49" t="s">
        <v>1</v>
      </c>
      <c r="N20" s="8">
        <f t="shared" ca="1" si="47"/>
        <v>81565.079345612015</v>
      </c>
      <c r="O20" s="8">
        <f t="shared" ca="1" si="48"/>
        <v>6000</v>
      </c>
      <c r="P20" s="9">
        <f t="shared" ca="1" si="58"/>
        <v>87565.079345612015</v>
      </c>
      <c r="Q20" s="57"/>
      <c r="R20" s="61"/>
      <c r="S20" s="64"/>
      <c r="T20" s="63"/>
      <c r="U20" s="53"/>
      <c r="V20" s="52"/>
      <c r="W20" s="63"/>
      <c r="X20" s="30" t="s">
        <v>30</v>
      </c>
      <c r="Y20" s="18">
        <f t="shared" ca="1" si="24"/>
        <v>27865.743319948262</v>
      </c>
      <c r="Z20" s="18">
        <f ca="1">COUNTIF(Q1,"Ocak")*(AE73-P15)
+COUNTIF(Q1,"Şubat")*(AE74-P16)
+COUNTIF(Q1,"Mart")*(AE75-P17)
+COUNTIF(Q1,"Nisan")*(AE76-P18)
+COUNTIF(Q1,"Mayıs")*(AE77-P19)
+COUNTIF(Q1,"Haziran")*(AE78-P20)
+COUNTIF(Q1,"Temmuz")*(AE79-P21)
+COUNTIF(Q1,"Ağustos")*(AE80-P22)
+COUNTIF(Q1,"Eylül")*(AE81-P23)
+COUNTIF(Q1,"Ekim")*(AE82-P24)
+COUNTIF(Q1,"Kasım")*(AE83-P25)
+COUNTIF(Q1,"Aralık")*(AE84-P26)
+COUNTIF(Q1,"Yıllık Toplam")*(AE85-P27)*-1
+COUNTIF(Q1,"Yıllık Ortalama")*(AE86-P28)*-1</f>
        <v>-27865.743319948262</v>
      </c>
      <c r="AA20" s="17" t="s">
        <v>0</v>
      </c>
      <c r="AB20" s="17" t="s">
        <v>0</v>
      </c>
      <c r="AC20" s="18">
        <f>($AC$19/2)</f>
        <v>520.45162500000004</v>
      </c>
      <c r="AD20" s="18">
        <f>($AD$19/2)</f>
        <v>590.81700000000001</v>
      </c>
      <c r="AE20" s="25">
        <f t="shared" si="63"/>
        <v>46174</v>
      </c>
      <c r="AF20" s="25">
        <f t="shared" si="49"/>
        <v>46203</v>
      </c>
      <c r="AG20" s="26">
        <f t="shared" si="59"/>
        <v>0</v>
      </c>
      <c r="AH20" s="26">
        <f t="shared" si="60"/>
        <v>26</v>
      </c>
      <c r="AI20" s="26">
        <f t="shared" si="61"/>
        <v>-26</v>
      </c>
      <c r="AJ20" s="27">
        <f t="shared" si="50"/>
        <v>52490</v>
      </c>
      <c r="AK20" s="18">
        <f t="shared" ca="1" si="51"/>
        <v>34992.53051816381</v>
      </c>
      <c r="AL20" s="28">
        <v>0</v>
      </c>
      <c r="AM20" s="18">
        <f t="shared" si="62"/>
        <v>0</v>
      </c>
      <c r="AN20" s="18">
        <f t="shared" ca="1" si="52"/>
        <v>0</v>
      </c>
      <c r="AO20" s="18">
        <f t="shared" si="53"/>
        <v>0</v>
      </c>
      <c r="AP20" s="18">
        <f t="shared" ca="1" si="54"/>
        <v>0</v>
      </c>
      <c r="AQ20" s="18">
        <f t="shared" si="55"/>
        <v>0</v>
      </c>
      <c r="AR20" s="18">
        <f t="shared" ca="1" si="56"/>
        <v>0</v>
      </c>
      <c r="AS20" s="18">
        <f t="shared" si="57"/>
        <v>0</v>
      </c>
      <c r="BD20" s="17">
        <v>18</v>
      </c>
      <c r="BE20" s="21">
        <v>9</v>
      </c>
      <c r="BF20" s="22">
        <v>0.2</v>
      </c>
      <c r="BG20" s="65"/>
    </row>
    <row r="21" spans="1:59" ht="39.950000000000003" customHeight="1" x14ac:dyDescent="0.25">
      <c r="A21" s="4">
        <f t="shared" ca="1" si="43"/>
        <v>0.27</v>
      </c>
      <c r="B21" s="5" t="s">
        <v>76</v>
      </c>
      <c r="C21" s="45">
        <v>63000</v>
      </c>
      <c r="D21" s="7">
        <f t="shared" ca="1" si="44"/>
        <v>38613.329999999994</v>
      </c>
      <c r="E21" s="6">
        <f t="shared" si="45"/>
        <v>2100</v>
      </c>
      <c r="F21" s="7">
        <f t="shared" ca="1" si="46"/>
        <v>1287.1109999999999</v>
      </c>
      <c r="G21" s="46">
        <v>7498.99</v>
      </c>
      <c r="H21" s="47">
        <v>0</v>
      </c>
      <c r="I21" s="47">
        <v>0</v>
      </c>
      <c r="J21" s="47">
        <v>0</v>
      </c>
      <c r="K21" s="48">
        <v>20</v>
      </c>
      <c r="L21" s="49">
        <v>0</v>
      </c>
      <c r="M21" s="49" t="s">
        <v>1</v>
      </c>
      <c r="N21" s="8">
        <f t="shared" ca="1" si="47"/>
        <v>51416.983268716067</v>
      </c>
      <c r="O21" s="8">
        <f t="shared" ca="1" si="48"/>
        <v>6000</v>
      </c>
      <c r="P21" s="9">
        <f t="shared" ca="1" si="58"/>
        <v>57416.983268716067</v>
      </c>
      <c r="Q21" s="57"/>
      <c r="R21" s="61"/>
      <c r="S21" s="64"/>
      <c r="T21" s="63"/>
      <c r="U21" s="53"/>
      <c r="V21" s="52"/>
      <c r="W21" s="63"/>
      <c r="X21" s="31" t="s">
        <v>10</v>
      </c>
      <c r="Y21" s="31" t="s">
        <v>58</v>
      </c>
      <c r="AE21" s="25">
        <f t="shared" si="63"/>
        <v>46204</v>
      </c>
      <c r="AF21" s="25">
        <f t="shared" si="49"/>
        <v>46234</v>
      </c>
      <c r="AG21" s="26">
        <f t="shared" si="59"/>
        <v>0</v>
      </c>
      <c r="AH21" s="26">
        <f t="shared" si="60"/>
        <v>27</v>
      </c>
      <c r="AI21" s="26">
        <f t="shared" si="61"/>
        <v>-27</v>
      </c>
      <c r="AJ21" s="27">
        <f t="shared" si="50"/>
        <v>63000</v>
      </c>
      <c r="AK21" s="18">
        <f t="shared" ca="1" si="51"/>
        <v>38613.329999999994</v>
      </c>
      <c r="AL21" s="28">
        <v>0</v>
      </c>
      <c r="AM21" s="18">
        <f t="shared" si="62"/>
        <v>0</v>
      </c>
      <c r="AN21" s="18">
        <f t="shared" ca="1" si="52"/>
        <v>0</v>
      </c>
      <c r="AO21" s="18">
        <f t="shared" si="53"/>
        <v>0</v>
      </c>
      <c r="AP21" s="18">
        <f t="shared" ca="1" si="54"/>
        <v>0</v>
      </c>
      <c r="AQ21" s="18">
        <f t="shared" si="55"/>
        <v>0</v>
      </c>
      <c r="AR21" s="18">
        <f t="shared" ca="1" si="56"/>
        <v>0</v>
      </c>
      <c r="AS21" s="18">
        <f t="shared" si="57"/>
        <v>0</v>
      </c>
      <c r="BD21" s="17">
        <v>19</v>
      </c>
      <c r="BE21" s="21">
        <v>9.5</v>
      </c>
      <c r="BF21" s="22">
        <v>0.21</v>
      </c>
      <c r="BG21" s="65"/>
    </row>
    <row r="22" spans="1:59" ht="39.950000000000003" customHeight="1" x14ac:dyDescent="0.25">
      <c r="A22" s="4">
        <f t="shared" ca="1" si="43"/>
        <v>0.27</v>
      </c>
      <c r="B22" s="5" t="s">
        <v>77</v>
      </c>
      <c r="C22" s="45">
        <v>63000</v>
      </c>
      <c r="D22" s="7">
        <f t="shared" ca="1" si="44"/>
        <v>38613.329999999994</v>
      </c>
      <c r="E22" s="6">
        <f t="shared" si="45"/>
        <v>2100</v>
      </c>
      <c r="F22" s="7">
        <f t="shared" ca="1" si="46"/>
        <v>1287.1109999999999</v>
      </c>
      <c r="G22" s="46">
        <v>7498.99</v>
      </c>
      <c r="H22" s="47">
        <v>0</v>
      </c>
      <c r="I22" s="47">
        <v>0</v>
      </c>
      <c r="J22" s="47">
        <v>0</v>
      </c>
      <c r="K22" s="48">
        <v>20</v>
      </c>
      <c r="L22" s="49">
        <v>0</v>
      </c>
      <c r="M22" s="49" t="s">
        <v>1</v>
      </c>
      <c r="N22" s="8">
        <f t="shared" ca="1" si="47"/>
        <v>52703.331903752209</v>
      </c>
      <c r="O22" s="8">
        <f t="shared" ca="1" si="48"/>
        <v>6000</v>
      </c>
      <c r="P22" s="9">
        <f t="shared" ca="1" si="58"/>
        <v>58703.331903752209</v>
      </c>
      <c r="Q22" s="57"/>
      <c r="R22" s="61"/>
      <c r="S22" s="64"/>
      <c r="T22" s="63"/>
      <c r="U22" s="53"/>
      <c r="V22" s="52"/>
      <c r="W22" s="63"/>
      <c r="X22" s="32" t="s">
        <v>9</v>
      </c>
      <c r="Y22" s="33" t="s">
        <v>90</v>
      </c>
      <c r="AA22" s="17">
        <f>(1500)</f>
        <v>1500</v>
      </c>
      <c r="AB22" s="17" t="s">
        <v>0</v>
      </c>
      <c r="AC22" s="18">
        <f>($AA$29*$AA$22)</f>
        <v>2081.8065000000001</v>
      </c>
      <c r="AD22" s="18">
        <f>($AB$29*$AA$22)</f>
        <v>2363.268</v>
      </c>
      <c r="AE22" s="25">
        <f t="shared" si="63"/>
        <v>46235</v>
      </c>
      <c r="AF22" s="25">
        <f t="shared" si="49"/>
        <v>46265</v>
      </c>
      <c r="AG22" s="26">
        <f t="shared" si="59"/>
        <v>0</v>
      </c>
      <c r="AH22" s="26">
        <f t="shared" si="60"/>
        <v>26</v>
      </c>
      <c r="AI22" s="26">
        <f t="shared" si="61"/>
        <v>-26</v>
      </c>
      <c r="AJ22" s="27">
        <f t="shared" si="50"/>
        <v>63000</v>
      </c>
      <c r="AK22" s="18">
        <f t="shared" ca="1" si="51"/>
        <v>38613.329999999994</v>
      </c>
      <c r="AL22" s="28">
        <v>0</v>
      </c>
      <c r="AM22" s="18">
        <f t="shared" si="62"/>
        <v>0</v>
      </c>
      <c r="AN22" s="18">
        <f t="shared" ca="1" si="52"/>
        <v>0</v>
      </c>
      <c r="AO22" s="18">
        <f t="shared" si="53"/>
        <v>0</v>
      </c>
      <c r="AP22" s="18">
        <f t="shared" ca="1" si="54"/>
        <v>0</v>
      </c>
      <c r="AQ22" s="18">
        <f t="shared" si="55"/>
        <v>0</v>
      </c>
      <c r="AR22" s="18">
        <f t="shared" ca="1" si="56"/>
        <v>0</v>
      </c>
      <c r="AS22" s="18">
        <f t="shared" si="57"/>
        <v>0</v>
      </c>
      <c r="BD22" s="17">
        <v>20</v>
      </c>
      <c r="BE22" s="21">
        <v>10</v>
      </c>
      <c r="BF22" s="22">
        <v>0.22</v>
      </c>
      <c r="BG22" s="65"/>
    </row>
    <row r="23" spans="1:59" ht="39.950000000000003" customHeight="1" x14ac:dyDescent="0.25">
      <c r="A23" s="4">
        <f t="shared" ca="1" si="43"/>
        <v>0.27</v>
      </c>
      <c r="B23" s="5" t="s">
        <v>78</v>
      </c>
      <c r="C23" s="45">
        <v>72765</v>
      </c>
      <c r="D23" s="7">
        <f t="shared" ca="1" si="44"/>
        <v>44598.396149999993</v>
      </c>
      <c r="E23" s="6">
        <f t="shared" si="45"/>
        <v>2425.5</v>
      </c>
      <c r="F23" s="7">
        <f t="shared" ca="1" si="46"/>
        <v>1486.6132049999999</v>
      </c>
      <c r="G23" s="46">
        <v>7498.99</v>
      </c>
      <c r="H23" s="47">
        <v>0</v>
      </c>
      <c r="I23" s="47">
        <v>0</v>
      </c>
      <c r="J23" s="47">
        <v>0</v>
      </c>
      <c r="K23" s="48">
        <v>20</v>
      </c>
      <c r="L23" s="49">
        <v>0</v>
      </c>
      <c r="M23" s="49" t="s">
        <v>1</v>
      </c>
      <c r="N23" s="8">
        <f t="shared" ca="1" si="47"/>
        <v>99296.750103752245</v>
      </c>
      <c r="O23" s="8">
        <f t="shared" ca="1" si="48"/>
        <v>6000</v>
      </c>
      <c r="P23" s="9">
        <f t="shared" ca="1" si="58"/>
        <v>105296.75010375225</v>
      </c>
      <c r="Q23" s="57"/>
      <c r="R23" s="61"/>
      <c r="S23" s="64"/>
      <c r="T23" s="63"/>
      <c r="U23" s="53"/>
      <c r="V23" s="52"/>
      <c r="W23" s="63"/>
      <c r="X23" s="32" t="s">
        <v>11</v>
      </c>
      <c r="Y23" s="34" t="s">
        <v>35</v>
      </c>
      <c r="AA23" s="17">
        <f>(8000)</f>
        <v>8000</v>
      </c>
      <c r="AB23" s="17" t="s">
        <v>0</v>
      </c>
      <c r="AC23" s="18">
        <f>($AA$29*$AA$23)</f>
        <v>11102.968000000001</v>
      </c>
      <c r="AD23" s="18">
        <f>($AB$29*$AA$23)</f>
        <v>12604.096</v>
      </c>
      <c r="AE23" s="25">
        <f t="shared" si="63"/>
        <v>46266</v>
      </c>
      <c r="AF23" s="25">
        <f t="shared" si="49"/>
        <v>46295</v>
      </c>
      <c r="AG23" s="26">
        <f t="shared" si="59"/>
        <v>0</v>
      </c>
      <c r="AH23" s="26">
        <f t="shared" si="60"/>
        <v>26</v>
      </c>
      <c r="AI23" s="26">
        <f t="shared" si="61"/>
        <v>-26</v>
      </c>
      <c r="AJ23" s="27">
        <f t="shared" si="50"/>
        <v>72765</v>
      </c>
      <c r="AK23" s="18">
        <f t="shared" ca="1" si="51"/>
        <v>44598.396149999993</v>
      </c>
      <c r="AL23" s="28">
        <v>0</v>
      </c>
      <c r="AM23" s="18">
        <f t="shared" si="62"/>
        <v>0</v>
      </c>
      <c r="AN23" s="18">
        <f t="shared" ca="1" si="52"/>
        <v>0</v>
      </c>
      <c r="AO23" s="18">
        <f t="shared" si="53"/>
        <v>0</v>
      </c>
      <c r="AP23" s="18">
        <f t="shared" ca="1" si="54"/>
        <v>0</v>
      </c>
      <c r="AQ23" s="18">
        <f t="shared" si="55"/>
        <v>0</v>
      </c>
      <c r="AR23" s="18">
        <f t="shared" ca="1" si="56"/>
        <v>0</v>
      </c>
      <c r="AS23" s="18">
        <f t="shared" si="57"/>
        <v>0</v>
      </c>
      <c r="BD23" s="17">
        <v>21</v>
      </c>
      <c r="BE23" s="21">
        <v>10.5</v>
      </c>
      <c r="BF23" s="22">
        <v>0.23</v>
      </c>
      <c r="BG23" s="65"/>
    </row>
    <row r="24" spans="1:59" ht="39.950000000000003" customHeight="1" x14ac:dyDescent="0.25">
      <c r="A24" s="4">
        <f t="shared" ca="1" si="43"/>
        <v>0.27</v>
      </c>
      <c r="B24" s="5" t="s">
        <v>79</v>
      </c>
      <c r="C24" s="45">
        <v>72765</v>
      </c>
      <c r="D24" s="7">
        <f t="shared" ca="1" si="44"/>
        <v>44598.396149999993</v>
      </c>
      <c r="E24" s="6">
        <f t="shared" si="45"/>
        <v>2425.5</v>
      </c>
      <c r="F24" s="7">
        <f t="shared" ca="1" si="46"/>
        <v>1486.6132049999999</v>
      </c>
      <c r="G24" s="46">
        <v>7498.99</v>
      </c>
      <c r="H24" s="47">
        <v>0</v>
      </c>
      <c r="I24" s="47">
        <v>0</v>
      </c>
      <c r="J24" s="47">
        <v>0</v>
      </c>
      <c r="K24" s="48">
        <v>20</v>
      </c>
      <c r="L24" s="49">
        <v>0</v>
      </c>
      <c r="M24" s="49" t="s">
        <v>1</v>
      </c>
      <c r="N24" s="8">
        <f t="shared" ca="1" si="47"/>
        <v>58688.395553752212</v>
      </c>
      <c r="O24" s="8">
        <f t="shared" ca="1" si="48"/>
        <v>6000</v>
      </c>
      <c r="P24" s="9">
        <f t="shared" ca="1" si="58"/>
        <v>64688.395553752212</v>
      </c>
      <c r="Q24" s="57"/>
      <c r="R24" s="61"/>
      <c r="S24" s="64"/>
      <c r="T24" s="63"/>
      <c r="U24" s="53"/>
      <c r="V24" s="52"/>
      <c r="W24" s="63"/>
      <c r="X24" s="32" t="s">
        <v>31</v>
      </c>
      <c r="Y24" s="18" t="s">
        <v>40</v>
      </c>
      <c r="AA24" s="17">
        <f>(500)</f>
        <v>500</v>
      </c>
      <c r="AB24" s="17" t="s">
        <v>0</v>
      </c>
      <c r="AC24" s="18">
        <f>($AA$29*$AA$24)</f>
        <v>693.93550000000005</v>
      </c>
      <c r="AD24" s="18">
        <f>($AB$29*$AA$24)</f>
        <v>787.75599999999997</v>
      </c>
      <c r="AE24" s="25">
        <f t="shared" si="63"/>
        <v>46296</v>
      </c>
      <c r="AF24" s="25">
        <f t="shared" si="49"/>
        <v>46326</v>
      </c>
      <c r="AG24" s="26">
        <f t="shared" si="59"/>
        <v>0</v>
      </c>
      <c r="AH24" s="26">
        <f t="shared" si="60"/>
        <v>27</v>
      </c>
      <c r="AI24" s="26">
        <f t="shared" si="61"/>
        <v>-27</v>
      </c>
      <c r="AJ24" s="27">
        <f t="shared" si="50"/>
        <v>72765</v>
      </c>
      <c r="AK24" s="18">
        <f t="shared" ca="1" si="51"/>
        <v>44598.396149999993</v>
      </c>
      <c r="AL24" s="28">
        <v>0</v>
      </c>
      <c r="AM24" s="18">
        <f t="shared" si="62"/>
        <v>0</v>
      </c>
      <c r="AN24" s="18">
        <f t="shared" ca="1" si="52"/>
        <v>0</v>
      </c>
      <c r="AO24" s="18">
        <f t="shared" si="53"/>
        <v>0</v>
      </c>
      <c r="AP24" s="18">
        <f t="shared" ca="1" si="54"/>
        <v>0</v>
      </c>
      <c r="AQ24" s="18">
        <f t="shared" si="55"/>
        <v>0</v>
      </c>
      <c r="AR24" s="18">
        <f t="shared" ca="1" si="56"/>
        <v>0</v>
      </c>
      <c r="AS24" s="18">
        <f t="shared" si="57"/>
        <v>0</v>
      </c>
      <c r="BD24" s="17">
        <v>22</v>
      </c>
      <c r="BE24" s="21">
        <v>11</v>
      </c>
      <c r="BF24" s="22">
        <v>0.24</v>
      </c>
      <c r="BG24" s="65"/>
    </row>
    <row r="25" spans="1:59" ht="39.950000000000003" customHeight="1" x14ac:dyDescent="0.25">
      <c r="A25" s="4">
        <f t="shared" ca="1" si="43"/>
        <v>0.27</v>
      </c>
      <c r="B25" s="5" t="s">
        <v>80</v>
      </c>
      <c r="C25" s="45">
        <v>72765</v>
      </c>
      <c r="D25" s="7">
        <f t="shared" ca="1" si="44"/>
        <v>44598.396149999993</v>
      </c>
      <c r="E25" s="6">
        <f t="shared" si="45"/>
        <v>2425.5</v>
      </c>
      <c r="F25" s="7">
        <f t="shared" ca="1" si="46"/>
        <v>1486.6132049999999</v>
      </c>
      <c r="G25" s="46">
        <v>7498.99</v>
      </c>
      <c r="H25" s="47">
        <v>0</v>
      </c>
      <c r="I25" s="47">
        <v>0</v>
      </c>
      <c r="J25" s="47">
        <v>0</v>
      </c>
      <c r="K25" s="48">
        <v>20</v>
      </c>
      <c r="L25" s="49">
        <v>0</v>
      </c>
      <c r="M25" s="49" t="s">
        <v>1</v>
      </c>
      <c r="N25" s="8">
        <f t="shared" ca="1" si="47"/>
        <v>58688.395553752212</v>
      </c>
      <c r="O25" s="8">
        <f t="shared" ca="1" si="48"/>
        <v>6000</v>
      </c>
      <c r="P25" s="9">
        <f t="shared" ca="1" si="58"/>
        <v>64688.395553752212</v>
      </c>
      <c r="Q25" s="57"/>
      <c r="R25" s="61"/>
      <c r="S25" s="64"/>
      <c r="T25" s="63"/>
      <c r="U25" s="53"/>
      <c r="V25" s="52"/>
      <c r="W25" s="63"/>
      <c r="X25" s="32" t="s">
        <v>15</v>
      </c>
      <c r="Y25" s="34" t="s">
        <v>36</v>
      </c>
      <c r="AA25" s="17">
        <f>(1000)</f>
        <v>1000</v>
      </c>
      <c r="AB25" s="17" t="s">
        <v>0</v>
      </c>
      <c r="AC25" s="18">
        <f>($AA$30*$AA$25)</f>
        <v>22722.792999999998</v>
      </c>
      <c r="AD25" s="18">
        <f>($AB$30*$AA$25)</f>
        <v>25794.915000000001</v>
      </c>
      <c r="AE25" s="25">
        <f t="shared" si="63"/>
        <v>46327</v>
      </c>
      <c r="AF25" s="25">
        <f t="shared" si="49"/>
        <v>46356</v>
      </c>
      <c r="AG25" s="26">
        <f t="shared" si="59"/>
        <v>0</v>
      </c>
      <c r="AH25" s="26">
        <f t="shared" si="60"/>
        <v>25</v>
      </c>
      <c r="AI25" s="26">
        <f t="shared" si="61"/>
        <v>-25</v>
      </c>
      <c r="AJ25" s="27">
        <f t="shared" si="50"/>
        <v>72765</v>
      </c>
      <c r="AK25" s="18">
        <f t="shared" ca="1" si="51"/>
        <v>44598.396149999993</v>
      </c>
      <c r="AL25" s="28">
        <v>0</v>
      </c>
      <c r="AM25" s="18">
        <f t="shared" si="62"/>
        <v>0</v>
      </c>
      <c r="AN25" s="18">
        <f t="shared" ca="1" si="52"/>
        <v>0</v>
      </c>
      <c r="AO25" s="18">
        <f t="shared" si="53"/>
        <v>0</v>
      </c>
      <c r="AP25" s="18">
        <f t="shared" ca="1" si="54"/>
        <v>0</v>
      </c>
      <c r="AQ25" s="18">
        <f t="shared" si="55"/>
        <v>0</v>
      </c>
      <c r="AR25" s="18">
        <f t="shared" ca="1" si="56"/>
        <v>0</v>
      </c>
      <c r="AS25" s="18">
        <f t="shared" si="57"/>
        <v>0</v>
      </c>
      <c r="BD25" s="17">
        <v>23</v>
      </c>
      <c r="BE25" s="21">
        <v>11.5</v>
      </c>
      <c r="BF25" s="22">
        <v>0.25</v>
      </c>
      <c r="BG25" s="65"/>
    </row>
    <row r="26" spans="1:59" ht="39.950000000000003" customHeight="1" x14ac:dyDescent="0.25">
      <c r="A26" s="4">
        <f t="shared" ca="1" si="43"/>
        <v>0.27</v>
      </c>
      <c r="B26" s="5" t="s">
        <v>81</v>
      </c>
      <c r="C26" s="45">
        <v>72765</v>
      </c>
      <c r="D26" s="7">
        <f t="shared" ca="1" si="44"/>
        <v>44598.396149999993</v>
      </c>
      <c r="E26" s="6">
        <f t="shared" si="45"/>
        <v>2425.5</v>
      </c>
      <c r="F26" s="7">
        <f t="shared" ca="1" si="46"/>
        <v>1486.6132049999999</v>
      </c>
      <c r="G26" s="46">
        <v>7498.99</v>
      </c>
      <c r="H26" s="47">
        <v>0</v>
      </c>
      <c r="I26" s="47">
        <v>0</v>
      </c>
      <c r="J26" s="47">
        <v>0</v>
      </c>
      <c r="K26" s="48">
        <v>20</v>
      </c>
      <c r="L26" s="49">
        <v>0</v>
      </c>
      <c r="M26" s="49" t="s">
        <v>1</v>
      </c>
      <c r="N26" s="8">
        <f t="shared" ca="1" si="47"/>
        <v>103286.79920375222</v>
      </c>
      <c r="O26" s="8">
        <f t="shared" ca="1" si="48"/>
        <v>6000</v>
      </c>
      <c r="P26" s="9">
        <f t="shared" ca="1" si="58"/>
        <v>109286.79920375222</v>
      </c>
      <c r="Q26" s="57"/>
      <c r="R26" s="61"/>
      <c r="S26" s="64"/>
      <c r="T26" s="63"/>
      <c r="U26" s="53"/>
      <c r="V26" s="52"/>
      <c r="W26" s="63"/>
      <c r="X26" s="32" t="s">
        <v>13</v>
      </c>
      <c r="Y26" s="33" t="s">
        <v>91</v>
      </c>
      <c r="AA26" s="17">
        <f>($AA$22+$AA$23)</f>
        <v>9500</v>
      </c>
      <c r="AB26" s="17">
        <f>(2.15)</f>
        <v>2.15</v>
      </c>
      <c r="AC26" s="18">
        <f>($AA$29*$AA$26*$AB$26)</f>
        <v>28347.265175</v>
      </c>
      <c r="AD26" s="18">
        <f>($AB$29*$AA$26*$AB$26)</f>
        <v>32179.832599999998</v>
      </c>
      <c r="AE26" s="25">
        <f t="shared" si="63"/>
        <v>46357</v>
      </c>
      <c r="AF26" s="25">
        <f t="shared" si="49"/>
        <v>46387</v>
      </c>
      <c r="AG26" s="26">
        <f t="shared" si="59"/>
        <v>0</v>
      </c>
      <c r="AH26" s="26">
        <f t="shared" si="60"/>
        <v>27</v>
      </c>
      <c r="AI26" s="26">
        <f t="shared" si="61"/>
        <v>-27</v>
      </c>
      <c r="AJ26" s="27">
        <f t="shared" si="50"/>
        <v>72765</v>
      </c>
      <c r="AK26" s="18">
        <f t="shared" ca="1" si="51"/>
        <v>44598.396149999993</v>
      </c>
      <c r="AL26" s="28">
        <v>0</v>
      </c>
      <c r="AM26" s="18">
        <f t="shared" si="62"/>
        <v>0</v>
      </c>
      <c r="AN26" s="18">
        <f t="shared" ca="1" si="52"/>
        <v>0</v>
      </c>
      <c r="AO26" s="18">
        <f t="shared" si="53"/>
        <v>0</v>
      </c>
      <c r="AP26" s="18">
        <f t="shared" ca="1" si="54"/>
        <v>0</v>
      </c>
      <c r="AQ26" s="18">
        <f t="shared" si="55"/>
        <v>0</v>
      </c>
      <c r="AR26" s="18">
        <f t="shared" ca="1" si="56"/>
        <v>0</v>
      </c>
      <c r="AS26" s="18">
        <f t="shared" si="57"/>
        <v>0</v>
      </c>
      <c r="BD26" s="17">
        <v>24</v>
      </c>
      <c r="BE26" s="21">
        <v>12</v>
      </c>
      <c r="BF26" s="22">
        <v>0.26</v>
      </c>
      <c r="BG26" s="65"/>
    </row>
    <row r="27" spans="1:59" ht="39.950000000000003" customHeight="1" x14ac:dyDescent="0.25">
      <c r="A27" s="10" t="s">
        <v>0</v>
      </c>
      <c r="B27" s="5" t="s">
        <v>61</v>
      </c>
      <c r="C27" s="3">
        <f>(C15+C16+C17+C18+C19+C20+C21+C22+C23+C24+C25+C26)</f>
        <v>732000</v>
      </c>
      <c r="D27" s="3">
        <f t="shared" ref="D27" ca="1" si="64">(D15+D16+D17+D18+D19+D20+D21+D22+D23+D24+D25+D26)</f>
        <v>473463.17074830772</v>
      </c>
      <c r="E27" s="3">
        <f t="shared" ref="E27:K27" si="65">(E15+E16+E17+E18+E19+E20+E21+E22+E23+E24+E25+E26)</f>
        <v>24400</v>
      </c>
      <c r="F27" s="3">
        <f t="shared" ca="1" si="65"/>
        <v>15782.105691610261</v>
      </c>
      <c r="G27" s="3">
        <f t="shared" si="65"/>
        <v>79374.599999999991</v>
      </c>
      <c r="H27" s="11">
        <f t="shared" si="65"/>
        <v>0</v>
      </c>
      <c r="I27" s="11">
        <f t="shared" si="65"/>
        <v>0</v>
      </c>
      <c r="J27" s="11">
        <f t="shared" si="65"/>
        <v>0</v>
      </c>
      <c r="K27" s="12">
        <f t="shared" si="65"/>
        <v>240</v>
      </c>
      <c r="L27" s="1" t="s">
        <v>0</v>
      </c>
      <c r="M27" s="1" t="s">
        <v>0</v>
      </c>
      <c r="N27" s="13">
        <f t="shared" ref="N27" ca="1" si="66">(N15+N16+N17+N18+N19+N20+N21+N22+N23+N24+N25+N26)</f>
        <v>783641.80697944656</v>
      </c>
      <c r="O27" s="13">
        <f t="shared" ref="O27" ca="1" si="67">(O15+O16+O17+O18+O19+O20+O21+O22+O23+O24+O25+O26)</f>
        <v>72000</v>
      </c>
      <c r="P27" s="14">
        <f t="shared" ref="P27" ca="1" si="68">(P15+P16+P17+P18+P19+P20+P21+P22+P23+P24+P25+P26)</f>
        <v>855641.80697944656</v>
      </c>
      <c r="Q27" s="57"/>
      <c r="R27" s="61"/>
      <c r="S27" s="64"/>
      <c r="T27" s="63"/>
      <c r="U27" s="53"/>
      <c r="V27" s="52"/>
      <c r="W27" s="63"/>
      <c r="X27" s="32" t="s">
        <v>14</v>
      </c>
      <c r="Y27" s="33" t="s">
        <v>92</v>
      </c>
      <c r="AA27" s="17" t="s">
        <v>0</v>
      </c>
      <c r="AB27" s="17" t="s">
        <v>0</v>
      </c>
      <c r="AC27" s="18">
        <f>($AC$22+$AC$23+$AC$24+$AC$25+$AC$26)</f>
        <v>64948.768174999997</v>
      </c>
      <c r="AD27" s="18">
        <f>($AD$22+$AD$23+$AD$24+$AD$25+$AD$26)</f>
        <v>73729.867599999998</v>
      </c>
      <c r="AE27" s="23" t="s">
        <v>0</v>
      </c>
      <c r="AF27" s="23" t="s">
        <v>0</v>
      </c>
      <c r="AG27" s="19">
        <f>(AG15+AG16+AG17+AG18+AG19+AG20+AG21+AG22+AG23+AG24+AG25+AG26)</f>
        <v>0</v>
      </c>
      <c r="AH27" s="19">
        <f>(AH15+AH16+AH17+AH18+AH19+AH20+AH21+AH22+AH23+AH24+AH25+AH26)</f>
        <v>313</v>
      </c>
      <c r="AI27" s="19">
        <f>(AI15+AI16+AI17+AI18+AI19+AI20+AI21+AI22+AI23+AI24+AI25+AI26)</f>
        <v>-313</v>
      </c>
      <c r="AJ27" s="18">
        <f t="shared" ref="AJ27:AK27" si="69">(AJ15+AJ16+AJ17+AJ18+AJ19+AJ20+AJ21+AJ22+AJ23+AJ24+AJ25+AJ26)</f>
        <v>732000</v>
      </c>
      <c r="AK27" s="18">
        <f t="shared" ca="1" si="69"/>
        <v>473463.17074830772</v>
      </c>
      <c r="AL27" s="23" t="s">
        <v>0</v>
      </c>
      <c r="AM27" s="18">
        <f t="shared" ref="AM27:AN27" si="70">(AM15+AM16+AM17+AM18+AM19+AM20+AM21+AM22+AM23+AM24+AM25+AM26)</f>
        <v>0</v>
      </c>
      <c r="AN27" s="18">
        <f t="shared" ca="1" si="70"/>
        <v>0</v>
      </c>
      <c r="AO27" s="18">
        <f t="shared" ref="AO27:AP27" si="71">(AO15+AO16+AO17+AO18+AO19+AO20+AO21+AO22+AO23+AO24+AO25+AO26)</f>
        <v>0</v>
      </c>
      <c r="AP27" s="18">
        <f t="shared" ca="1" si="71"/>
        <v>0</v>
      </c>
      <c r="AQ27" s="18">
        <f t="shared" ref="AQ27:AR27" si="72">(AQ15+AQ16+AQ17+AQ18+AQ19+AQ20+AQ21+AQ22+AQ23+AQ24+AQ25+AQ26)</f>
        <v>0</v>
      </c>
      <c r="AR27" s="18">
        <f t="shared" ca="1" si="72"/>
        <v>0</v>
      </c>
      <c r="AS27" s="18">
        <f t="shared" ref="AS27" si="73">(AS15+AS16+AS17+AS18+AS19+AS20+AS21+AS22+AS23+AS24+AS25+AS26)</f>
        <v>0</v>
      </c>
      <c r="BD27" s="17">
        <v>25</v>
      </c>
      <c r="BE27" s="21">
        <v>12.5</v>
      </c>
      <c r="BF27" s="22">
        <v>0.27</v>
      </c>
      <c r="BG27" s="65"/>
    </row>
    <row r="28" spans="1:59" ht="39.950000000000003" customHeight="1" x14ac:dyDescent="0.25">
      <c r="A28" s="4">
        <f ca="1">(AT86)</f>
        <v>0.22365494314826015</v>
      </c>
      <c r="B28" s="15" t="s">
        <v>62</v>
      </c>
      <c r="C28" s="3">
        <f>(C27/12)</f>
        <v>61000</v>
      </c>
      <c r="D28" s="3">
        <f t="shared" ref="D28" ca="1" si="74">(D27/12)</f>
        <v>39455.264229025641</v>
      </c>
      <c r="E28" s="3">
        <f>(E27/12)</f>
        <v>2033.3333333333333</v>
      </c>
      <c r="F28" s="3">
        <f ca="1">(F27/12)</f>
        <v>1315.1754743008551</v>
      </c>
      <c r="G28" s="3">
        <f>(G27/12)</f>
        <v>6614.5499999999993</v>
      </c>
      <c r="H28" s="12" t="s">
        <v>0</v>
      </c>
      <c r="I28" s="12" t="s">
        <v>0</v>
      </c>
      <c r="J28" s="3" t="s">
        <v>0</v>
      </c>
      <c r="K28" s="3" t="s">
        <v>0</v>
      </c>
      <c r="L28" s="3" t="s">
        <v>0</v>
      </c>
      <c r="M28" s="3" t="s">
        <v>0</v>
      </c>
      <c r="N28" s="13">
        <f ca="1">(N27/12)</f>
        <v>65303.483914953882</v>
      </c>
      <c r="O28" s="13">
        <f ca="1">(O27/12)</f>
        <v>6000</v>
      </c>
      <c r="P28" s="14">
        <f ca="1">(P27/12)</f>
        <v>71303.483914953875</v>
      </c>
      <c r="Q28" s="57"/>
      <c r="R28" s="61"/>
      <c r="S28" s="64"/>
      <c r="T28" s="58"/>
      <c r="U28" s="59"/>
      <c r="V28" s="60"/>
      <c r="W28" s="58"/>
      <c r="X28" s="32" t="s">
        <v>32</v>
      </c>
      <c r="Y28" s="34" t="s">
        <v>37</v>
      </c>
      <c r="AE28" s="23" t="s">
        <v>0</v>
      </c>
      <c r="AF28" s="23" t="s">
        <v>0</v>
      </c>
      <c r="AG28" s="23" t="s">
        <v>0</v>
      </c>
      <c r="AH28" s="23" t="s">
        <v>0</v>
      </c>
      <c r="AI28" s="23" t="s">
        <v>0</v>
      </c>
      <c r="AJ28" s="18">
        <f t="shared" ref="AJ28:AK28" si="75">(AJ27/12)</f>
        <v>61000</v>
      </c>
      <c r="AK28" s="18">
        <f t="shared" ca="1" si="75"/>
        <v>39455.264229025641</v>
      </c>
      <c r="AL28" s="23" t="s">
        <v>0</v>
      </c>
      <c r="AM28" s="18">
        <f t="shared" ref="AM28:AN28" si="76">(AM27/12)</f>
        <v>0</v>
      </c>
      <c r="AN28" s="18">
        <f t="shared" ca="1" si="76"/>
        <v>0</v>
      </c>
      <c r="AO28" s="18">
        <f t="shared" ref="AO28:AP28" si="77">(AO27/12)</f>
        <v>0</v>
      </c>
      <c r="AP28" s="18">
        <f t="shared" ca="1" si="77"/>
        <v>0</v>
      </c>
      <c r="AQ28" s="18">
        <f t="shared" ref="AQ28:AR28" si="78">(AQ27/12)</f>
        <v>0</v>
      </c>
      <c r="AR28" s="18">
        <f t="shared" ca="1" si="78"/>
        <v>0</v>
      </c>
      <c r="AS28" s="18">
        <f t="shared" ref="AS28" si="79">(AS27/12)</f>
        <v>0</v>
      </c>
      <c r="BD28" s="17">
        <v>26</v>
      </c>
      <c r="BE28" s="21">
        <v>13</v>
      </c>
      <c r="BF28" s="22">
        <v>0.28000000000000003</v>
      </c>
      <c r="BG28" s="65"/>
    </row>
    <row r="29" spans="1:59" ht="39.950000000000003" hidden="1" customHeight="1" x14ac:dyDescent="0.25">
      <c r="X29" s="32" t="s">
        <v>27</v>
      </c>
      <c r="Y29" s="33" t="s">
        <v>93</v>
      </c>
      <c r="AA29" s="35">
        <v>1.3878710000000001</v>
      </c>
      <c r="AB29" s="35">
        <v>1.575512</v>
      </c>
      <c r="AC29" s="17" t="s">
        <v>0</v>
      </c>
      <c r="AD29" s="30" t="s">
        <v>0</v>
      </c>
      <c r="AE29" s="18">
        <f t="shared" ref="AE29:AE40" ca="1" si="80">(AS15*AY73)</f>
        <v>0</v>
      </c>
      <c r="AF29" s="36">
        <v>0</v>
      </c>
      <c r="AG29" s="18">
        <f t="shared" ref="AG29:AG40" si="81">(C15/7.5*0.15*AF29)</f>
        <v>0</v>
      </c>
      <c r="AH29" s="18">
        <f t="shared" ref="AH29:AH40" ca="1" si="82">(AG29*AY73)</f>
        <v>0</v>
      </c>
      <c r="AI29" s="18">
        <f t="shared" ref="AI29:AI40" si="83">(300*K15)</f>
        <v>6000</v>
      </c>
      <c r="AJ29" s="18">
        <f t="shared" ref="AJ29:AJ40" ca="1" si="84">(AK29/AY73/30*AS1)</f>
        <v>3843.840483417493</v>
      </c>
      <c r="AK29" s="18">
        <f>(2748/30*AS1)</f>
        <v>2748</v>
      </c>
      <c r="AL29" s="19">
        <v>10</v>
      </c>
      <c r="AM29" s="18">
        <f t="shared" ref="AM29:AM40" si="85">(E15*AL29)</f>
        <v>17496.666666666668</v>
      </c>
      <c r="AN29" s="18">
        <f>(0)</f>
        <v>0</v>
      </c>
      <c r="AO29" s="18">
        <f t="shared" ref="AO29:AO40" ca="1" si="86">(AN29*AY73)</f>
        <v>0</v>
      </c>
      <c r="AP29" s="19">
        <v>30</v>
      </c>
      <c r="AQ29" s="18">
        <f t="shared" ref="AQ29:AQ40" ca="1" si="87">(G15*AY73)</f>
        <v>4096.5129401000004</v>
      </c>
      <c r="AR29" s="37">
        <f t="shared" ref="AR29:AR40" si="88">COUNTIF(M15,"Yok")*(0)
+COUNTIF(M15,"1. Derece")*($AA$36)
+COUNTIF(M15,"2. Derece")*($AA$37)
+COUNTIF(M15,"3. Derece")*($AA$38)</f>
        <v>0</v>
      </c>
      <c r="BD29" s="17">
        <v>27</v>
      </c>
      <c r="BE29" s="21">
        <v>13.5</v>
      </c>
      <c r="BF29" s="22">
        <v>0.28999999999999998</v>
      </c>
    </row>
    <row r="30" spans="1:59" ht="39.950000000000003" hidden="1" customHeight="1" x14ac:dyDescent="0.25">
      <c r="X30" s="32" t="s">
        <v>33</v>
      </c>
      <c r="Y30" s="34" t="s">
        <v>38</v>
      </c>
      <c r="AA30" s="35">
        <v>22.722792999999999</v>
      </c>
      <c r="AB30" s="35">
        <v>25.794915</v>
      </c>
      <c r="AC30" s="17" t="s">
        <v>0</v>
      </c>
      <c r="AD30" s="30" t="s">
        <v>0</v>
      </c>
      <c r="AE30" s="18">
        <f t="shared" ca="1" si="80"/>
        <v>0</v>
      </c>
      <c r="AF30" s="36">
        <v>0</v>
      </c>
      <c r="AG30" s="18">
        <f t="shared" si="81"/>
        <v>0</v>
      </c>
      <c r="AH30" s="18">
        <f t="shared" ca="1" si="82"/>
        <v>0</v>
      </c>
      <c r="AI30" s="18">
        <f t="shared" si="83"/>
        <v>6000</v>
      </c>
      <c r="AJ30" s="18">
        <f t="shared" ca="1" si="84"/>
        <v>4228.5042872529402</v>
      </c>
      <c r="AK30" s="18">
        <f>(2748/30*15+3298/30*15)</f>
        <v>3023</v>
      </c>
      <c r="AL30" s="19">
        <v>10</v>
      </c>
      <c r="AM30" s="18">
        <f t="shared" si="85"/>
        <v>17496.666666666668</v>
      </c>
      <c r="AN30" s="18">
        <f>(0)</f>
        <v>0</v>
      </c>
      <c r="AO30" s="18">
        <f t="shared" ca="1" si="86"/>
        <v>0</v>
      </c>
      <c r="AP30" s="19">
        <v>30</v>
      </c>
      <c r="AQ30" s="18">
        <f t="shared" ca="1" si="87"/>
        <v>4096.5129401000004</v>
      </c>
      <c r="AR30" s="37">
        <f t="shared" si="88"/>
        <v>0</v>
      </c>
      <c r="BD30" s="17">
        <v>28</v>
      </c>
      <c r="BE30" s="21">
        <v>14</v>
      </c>
      <c r="BF30" s="22">
        <v>0.3</v>
      </c>
    </row>
    <row r="31" spans="1:59" ht="39.950000000000003" hidden="1" customHeight="1" x14ac:dyDescent="0.25">
      <c r="X31" s="32" t="s">
        <v>12</v>
      </c>
      <c r="Y31" s="33" t="s">
        <v>94</v>
      </c>
      <c r="AA31" s="35">
        <v>0.44144099999999997</v>
      </c>
      <c r="AB31" s="35">
        <v>0.49964900000000001</v>
      </c>
      <c r="AC31" s="17" t="s">
        <v>0</v>
      </c>
      <c r="AD31" s="30" t="s">
        <v>0</v>
      </c>
      <c r="AE31" s="18">
        <f t="shared" ca="1" si="80"/>
        <v>0</v>
      </c>
      <c r="AF31" s="36">
        <v>0</v>
      </c>
      <c r="AG31" s="18">
        <f t="shared" si="81"/>
        <v>0</v>
      </c>
      <c r="AH31" s="18">
        <f t="shared" ca="1" si="82"/>
        <v>0</v>
      </c>
      <c r="AI31" s="18">
        <f t="shared" si="83"/>
        <v>6000</v>
      </c>
      <c r="AJ31" s="18">
        <f t="shared" ca="1" si="84"/>
        <v>4652.3555667457395</v>
      </c>
      <c r="AK31" s="18">
        <f>3298/30*AS3</f>
        <v>3298</v>
      </c>
      <c r="AL31" s="19">
        <v>10</v>
      </c>
      <c r="AM31" s="18">
        <f t="shared" si="85"/>
        <v>17496.666666666668</v>
      </c>
      <c r="AN31" s="18">
        <f>(AM29+AM30+AM31)</f>
        <v>52490</v>
      </c>
      <c r="AO31" s="18">
        <f t="shared" ca="1" si="86"/>
        <v>37209.542030143995</v>
      </c>
      <c r="AP31" s="19">
        <v>30</v>
      </c>
      <c r="AQ31" s="18">
        <f t="shared" ca="1" si="87"/>
        <v>4062.0074086940067</v>
      </c>
      <c r="AR31" s="37">
        <f t="shared" si="88"/>
        <v>0</v>
      </c>
      <c r="BD31" s="17">
        <v>29</v>
      </c>
      <c r="BE31" s="21">
        <v>14.5</v>
      </c>
      <c r="BF31" s="22">
        <v>0.31</v>
      </c>
    </row>
    <row r="32" spans="1:59" ht="39.950000000000003" hidden="1" customHeight="1" x14ac:dyDescent="0.25">
      <c r="X32" s="32" t="s">
        <v>26</v>
      </c>
      <c r="Y32" s="33" t="s">
        <v>95</v>
      </c>
      <c r="AE32" s="18">
        <f t="shared" ca="1" si="80"/>
        <v>0</v>
      </c>
      <c r="AF32" s="36">
        <v>0</v>
      </c>
      <c r="AG32" s="18">
        <f t="shared" si="81"/>
        <v>0</v>
      </c>
      <c r="AH32" s="18">
        <f t="shared" ca="1" si="82"/>
        <v>0</v>
      </c>
      <c r="AI32" s="18">
        <f t="shared" si="83"/>
        <v>6000</v>
      </c>
      <c r="AJ32" s="18">
        <f t="shared" ca="1" si="84"/>
        <v>4904.7456165137346</v>
      </c>
      <c r="AK32" s="18">
        <f>3298/30*AS4</f>
        <v>3298</v>
      </c>
      <c r="AL32" s="19">
        <v>10</v>
      </c>
      <c r="AM32" s="18">
        <f t="shared" si="85"/>
        <v>17496.666666666668</v>
      </c>
      <c r="AN32" s="18">
        <f>(0)</f>
        <v>0</v>
      </c>
      <c r="AO32" s="18">
        <f t="shared" ca="1" si="86"/>
        <v>0</v>
      </c>
      <c r="AP32" s="19">
        <v>30</v>
      </c>
      <c r="AQ32" s="18">
        <f t="shared" ca="1" si="87"/>
        <v>3852.9832650999997</v>
      </c>
      <c r="AR32" s="37">
        <f t="shared" si="88"/>
        <v>0</v>
      </c>
      <c r="BD32" s="17">
        <v>30</v>
      </c>
      <c r="BE32" s="21">
        <v>15</v>
      </c>
      <c r="BF32" s="22">
        <v>0.32</v>
      </c>
    </row>
    <row r="33" spans="24:58" ht="39.950000000000003" hidden="1" customHeight="1" x14ac:dyDescent="0.25">
      <c r="X33" s="38" t="s">
        <v>28</v>
      </c>
      <c r="Y33" s="34" t="s">
        <v>42</v>
      </c>
      <c r="AA33" s="23">
        <f>($AA$34*2)</f>
        <v>19000</v>
      </c>
      <c r="AB33" s="17" t="s">
        <v>0</v>
      </c>
      <c r="AC33" s="18">
        <f>($AA$29*$AA$33)</f>
        <v>26369.549000000003</v>
      </c>
      <c r="AD33" s="18">
        <f>($AB$29*$AA$33)</f>
        <v>29934.727999999999</v>
      </c>
      <c r="AE33" s="18">
        <f t="shared" ca="1" si="80"/>
        <v>0</v>
      </c>
      <c r="AF33" s="36">
        <v>0</v>
      </c>
      <c r="AG33" s="18">
        <f t="shared" si="81"/>
        <v>0</v>
      </c>
      <c r="AH33" s="18">
        <f t="shared" ca="1" si="82"/>
        <v>0</v>
      </c>
      <c r="AI33" s="18">
        <f t="shared" si="83"/>
        <v>6000</v>
      </c>
      <c r="AJ33" s="18">
        <f t="shared" ca="1" si="84"/>
        <v>4904.7456165137346</v>
      </c>
      <c r="AK33" s="18">
        <f>3298/30*AS5</f>
        <v>3298</v>
      </c>
      <c r="AL33" s="19">
        <v>10</v>
      </c>
      <c r="AM33" s="18">
        <f t="shared" si="85"/>
        <v>17496.666666666668</v>
      </c>
      <c r="AN33" s="18">
        <f>(0)</f>
        <v>0</v>
      </c>
      <c r="AO33" s="18">
        <f t="shared" ca="1" si="86"/>
        <v>0</v>
      </c>
      <c r="AP33" s="19">
        <v>30</v>
      </c>
      <c r="AQ33" s="18">
        <f t="shared" ca="1" si="87"/>
        <v>3852.9832650999997</v>
      </c>
      <c r="AR33" s="37">
        <f t="shared" si="88"/>
        <v>0</v>
      </c>
      <c r="BD33" s="17">
        <v>31</v>
      </c>
      <c r="BE33" s="21">
        <v>15.5</v>
      </c>
      <c r="BF33" s="22">
        <v>0.33</v>
      </c>
    </row>
    <row r="34" spans="24:58" ht="39.950000000000003" hidden="1" customHeight="1" x14ac:dyDescent="0.25">
      <c r="X34" s="32" t="s">
        <v>34</v>
      </c>
      <c r="Y34" s="33" t="s">
        <v>41</v>
      </c>
      <c r="AA34" s="23">
        <f>(9500)</f>
        <v>9500</v>
      </c>
      <c r="AB34" s="17" t="s">
        <v>0</v>
      </c>
      <c r="AC34" s="18">
        <f>($AA$29*$AA$34)</f>
        <v>13184.774500000001</v>
      </c>
      <c r="AD34" s="18">
        <f>($AB$29*$AA$34)</f>
        <v>14967.364</v>
      </c>
      <c r="AE34" s="18">
        <f t="shared" ca="1" si="80"/>
        <v>0</v>
      </c>
      <c r="AF34" s="36">
        <v>0</v>
      </c>
      <c r="AG34" s="18">
        <f t="shared" si="81"/>
        <v>0</v>
      </c>
      <c r="AH34" s="18">
        <f t="shared" ca="1" si="82"/>
        <v>0</v>
      </c>
      <c r="AI34" s="18">
        <f t="shared" si="83"/>
        <v>6000</v>
      </c>
      <c r="AJ34" s="18">
        <f t="shared" ca="1" si="84"/>
        <v>4947.1134964115145</v>
      </c>
      <c r="AK34" s="18">
        <f>3298/30*AS6</f>
        <v>3298</v>
      </c>
      <c r="AL34" s="19">
        <v>10</v>
      </c>
      <c r="AM34" s="18">
        <f t="shared" si="85"/>
        <v>17496.666666666668</v>
      </c>
      <c r="AN34" s="18">
        <f t="shared" ref="AN34:AN40" si="89">(AM32+AM33+AM34)</f>
        <v>52490</v>
      </c>
      <c r="AO34" s="18">
        <f t="shared" ca="1" si="86"/>
        <v>34992.53051816381</v>
      </c>
      <c r="AP34" s="19">
        <v>30</v>
      </c>
      <c r="AQ34" s="18">
        <f t="shared" ca="1" si="87"/>
        <v>3819.9856934165678</v>
      </c>
      <c r="AR34" s="37">
        <f t="shared" si="88"/>
        <v>0</v>
      </c>
      <c r="BD34" s="17">
        <v>32</v>
      </c>
      <c r="BE34" s="21">
        <v>16</v>
      </c>
      <c r="BF34" s="22">
        <v>0.34</v>
      </c>
    </row>
    <row r="35" spans="24:58" ht="39.950000000000003" hidden="1" customHeight="1" x14ac:dyDescent="0.25">
      <c r="AE35" s="18">
        <f t="shared" ca="1" si="80"/>
        <v>0</v>
      </c>
      <c r="AF35" s="36">
        <v>0</v>
      </c>
      <c r="AG35" s="18">
        <f t="shared" si="81"/>
        <v>0</v>
      </c>
      <c r="AH35" s="18">
        <f t="shared" ca="1" si="82"/>
        <v>0</v>
      </c>
      <c r="AI35" s="18">
        <f t="shared" si="83"/>
        <v>6000</v>
      </c>
      <c r="AJ35" s="18">
        <f t="shared" ca="1" si="84"/>
        <v>5578.3067660831121</v>
      </c>
      <c r="AK35" s="18">
        <f>(3298/30*19+3628/30*11)</f>
        <v>3419</v>
      </c>
      <c r="AL35" s="19">
        <v>10</v>
      </c>
      <c r="AM35" s="18">
        <f t="shared" si="85"/>
        <v>21000</v>
      </c>
      <c r="AN35" s="18">
        <f>(0)</f>
        <v>0</v>
      </c>
      <c r="AO35" s="18">
        <f t="shared" ca="1" si="86"/>
        <v>0</v>
      </c>
      <c r="AP35" s="19">
        <v>30</v>
      </c>
      <c r="AQ35" s="18">
        <f t="shared" ca="1" si="87"/>
        <v>4596.2059608999998</v>
      </c>
      <c r="AR35" s="37">
        <f t="shared" si="88"/>
        <v>0</v>
      </c>
      <c r="BD35" s="17">
        <v>33</v>
      </c>
      <c r="BE35" s="21">
        <v>16.5</v>
      </c>
      <c r="BF35" s="22">
        <v>0.35</v>
      </c>
    </row>
    <row r="36" spans="24:58" ht="39.950000000000003" hidden="1" customHeight="1" x14ac:dyDescent="0.25">
      <c r="AA36" s="18">
        <v>12000</v>
      </c>
      <c r="AB36" s="17" t="s">
        <v>0</v>
      </c>
      <c r="AC36" s="17" t="s">
        <v>0</v>
      </c>
      <c r="AD36" s="17" t="s">
        <v>0</v>
      </c>
      <c r="AE36" s="18">
        <f t="shared" ca="1" si="80"/>
        <v>0</v>
      </c>
      <c r="AF36" s="36">
        <v>0</v>
      </c>
      <c r="AG36" s="18">
        <f t="shared" si="81"/>
        <v>0</v>
      </c>
      <c r="AH36" s="18">
        <f t="shared" ca="1" si="82"/>
        <v>0</v>
      </c>
      <c r="AI36" s="18">
        <f t="shared" si="83"/>
        <v>6000</v>
      </c>
      <c r="AJ36" s="18">
        <f t="shared" ca="1" si="84"/>
        <v>5919.3029971774004</v>
      </c>
      <c r="AK36" s="18">
        <f>3628/30*AS8</f>
        <v>3628</v>
      </c>
      <c r="AL36" s="19">
        <v>10</v>
      </c>
      <c r="AM36" s="18">
        <f t="shared" si="85"/>
        <v>21000</v>
      </c>
      <c r="AN36" s="18">
        <f>(0)</f>
        <v>0</v>
      </c>
      <c r="AO36" s="18">
        <f t="shared" ca="1" si="86"/>
        <v>0</v>
      </c>
      <c r="AP36" s="19">
        <v>30</v>
      </c>
      <c r="AQ36" s="18">
        <f t="shared" ca="1" si="87"/>
        <v>4596.2059608999998</v>
      </c>
      <c r="AR36" s="37">
        <f t="shared" si="88"/>
        <v>0</v>
      </c>
      <c r="BD36" s="17">
        <v>34</v>
      </c>
      <c r="BE36" s="21">
        <v>17</v>
      </c>
      <c r="BF36" s="22">
        <v>0.36</v>
      </c>
    </row>
    <row r="37" spans="24:58" ht="39.950000000000003" hidden="1" customHeight="1" x14ac:dyDescent="0.25">
      <c r="AA37" s="18">
        <v>7000</v>
      </c>
      <c r="AB37" s="17" t="s">
        <v>0</v>
      </c>
      <c r="AC37" s="17" t="s">
        <v>0</v>
      </c>
      <c r="AD37" s="17" t="s">
        <v>0</v>
      </c>
      <c r="AE37" s="18">
        <f t="shared" ca="1" si="80"/>
        <v>0</v>
      </c>
      <c r="AF37" s="36">
        <v>0</v>
      </c>
      <c r="AG37" s="18">
        <f t="shared" si="81"/>
        <v>0</v>
      </c>
      <c r="AH37" s="18">
        <f t="shared" ca="1" si="82"/>
        <v>0</v>
      </c>
      <c r="AI37" s="18">
        <f t="shared" si="83"/>
        <v>6000</v>
      </c>
      <c r="AJ37" s="18">
        <f t="shared" ca="1" si="84"/>
        <v>5919.3029971774004</v>
      </c>
      <c r="AK37" s="18">
        <f>3628/30*AS9</f>
        <v>3628</v>
      </c>
      <c r="AL37" s="19">
        <v>10</v>
      </c>
      <c r="AM37" s="18">
        <f t="shared" si="85"/>
        <v>24255</v>
      </c>
      <c r="AN37" s="18">
        <f t="shared" si="89"/>
        <v>66255</v>
      </c>
      <c r="AO37" s="18">
        <f t="shared" ca="1" si="86"/>
        <v>40608.352049999994</v>
      </c>
      <c r="AP37" s="19">
        <v>30</v>
      </c>
      <c r="AQ37" s="18">
        <f t="shared" ca="1" si="87"/>
        <v>4596.2059608999998</v>
      </c>
      <c r="AR37" s="37">
        <f t="shared" si="88"/>
        <v>0</v>
      </c>
      <c r="BD37" s="17">
        <v>35</v>
      </c>
      <c r="BE37" s="21">
        <v>17.5</v>
      </c>
      <c r="BF37" s="22">
        <v>0.37</v>
      </c>
    </row>
    <row r="38" spans="24:58" ht="39.950000000000003" hidden="1" customHeight="1" x14ac:dyDescent="0.25">
      <c r="AA38" s="18">
        <v>3000</v>
      </c>
      <c r="AB38" s="17" t="s">
        <v>0</v>
      </c>
      <c r="AC38" s="17" t="s">
        <v>0</v>
      </c>
      <c r="AD38" s="17" t="s">
        <v>0</v>
      </c>
      <c r="AE38" s="18">
        <f t="shared" ca="1" si="80"/>
        <v>0</v>
      </c>
      <c r="AF38" s="36">
        <v>0</v>
      </c>
      <c r="AG38" s="18">
        <f t="shared" si="81"/>
        <v>0</v>
      </c>
      <c r="AH38" s="18">
        <f t="shared" ca="1" si="82"/>
        <v>0</v>
      </c>
      <c r="AI38" s="18">
        <f t="shared" si="83"/>
        <v>6000</v>
      </c>
      <c r="AJ38" s="18">
        <f t="shared" ca="1" si="84"/>
        <v>5919.3029971774004</v>
      </c>
      <c r="AK38" s="18">
        <f>3628/30*AS10</f>
        <v>3628</v>
      </c>
      <c r="AL38" s="19">
        <v>10</v>
      </c>
      <c r="AM38" s="18">
        <f t="shared" si="85"/>
        <v>24255</v>
      </c>
      <c r="AN38" s="18">
        <f>(0)</f>
        <v>0</v>
      </c>
      <c r="AO38" s="18">
        <f t="shared" ca="1" si="86"/>
        <v>0</v>
      </c>
      <c r="AP38" s="19">
        <v>30</v>
      </c>
      <c r="AQ38" s="18">
        <f t="shared" ca="1" si="87"/>
        <v>4596.2059608999998</v>
      </c>
      <c r="AR38" s="37">
        <f t="shared" si="88"/>
        <v>0</v>
      </c>
      <c r="BD38" s="17">
        <v>36</v>
      </c>
      <c r="BE38" s="21">
        <v>18</v>
      </c>
      <c r="BF38" s="22">
        <v>0.38</v>
      </c>
    </row>
    <row r="39" spans="24:58" ht="39.950000000000003" hidden="1" customHeight="1" x14ac:dyDescent="0.25">
      <c r="AA39" s="17" t="s">
        <v>1</v>
      </c>
      <c r="AB39" s="17" t="s">
        <v>59</v>
      </c>
      <c r="AE39" s="18">
        <f t="shared" ca="1" si="80"/>
        <v>0</v>
      </c>
      <c r="AF39" s="36">
        <v>0</v>
      </c>
      <c r="AG39" s="18">
        <f t="shared" si="81"/>
        <v>0</v>
      </c>
      <c r="AH39" s="18">
        <f t="shared" ca="1" si="82"/>
        <v>0</v>
      </c>
      <c r="AI39" s="18">
        <f t="shared" si="83"/>
        <v>6000</v>
      </c>
      <c r="AJ39" s="18">
        <f t="shared" ca="1" si="84"/>
        <v>5919.3029971774004</v>
      </c>
      <c r="AK39" s="18">
        <f>3628/30*AS11</f>
        <v>3628</v>
      </c>
      <c r="AL39" s="19">
        <v>10</v>
      </c>
      <c r="AM39" s="18">
        <f t="shared" si="85"/>
        <v>24255</v>
      </c>
      <c r="AN39" s="18">
        <f>(0)</f>
        <v>0</v>
      </c>
      <c r="AO39" s="18">
        <f t="shared" ca="1" si="86"/>
        <v>0</v>
      </c>
      <c r="AP39" s="19">
        <v>30</v>
      </c>
      <c r="AQ39" s="18">
        <f t="shared" ca="1" si="87"/>
        <v>4596.2059608999998</v>
      </c>
      <c r="AR39" s="37">
        <f t="shared" si="88"/>
        <v>0</v>
      </c>
      <c r="BD39" s="17">
        <v>37</v>
      </c>
      <c r="BE39" s="21">
        <v>18.5</v>
      </c>
      <c r="BF39" s="22">
        <v>0.39</v>
      </c>
    </row>
    <row r="40" spans="24:58" ht="39.950000000000003" hidden="1" customHeight="1" x14ac:dyDescent="0.25">
      <c r="AA40" s="30" t="s">
        <v>39</v>
      </c>
      <c r="AB40" s="37">
        <v>1900</v>
      </c>
      <c r="AE40" s="18">
        <f t="shared" ca="1" si="80"/>
        <v>0</v>
      </c>
      <c r="AF40" s="36">
        <v>0</v>
      </c>
      <c r="AG40" s="18">
        <f t="shared" si="81"/>
        <v>0</v>
      </c>
      <c r="AH40" s="18">
        <f t="shared" ca="1" si="82"/>
        <v>0</v>
      </c>
      <c r="AI40" s="18">
        <f t="shared" si="83"/>
        <v>6000</v>
      </c>
      <c r="AJ40" s="18">
        <f t="shared" ca="1" si="84"/>
        <v>5919.3029971774004</v>
      </c>
      <c r="AK40" s="18">
        <f>3628/30*AS12</f>
        <v>3628</v>
      </c>
      <c r="AL40" s="19">
        <v>10</v>
      </c>
      <c r="AM40" s="18">
        <f t="shared" si="85"/>
        <v>24255</v>
      </c>
      <c r="AN40" s="18">
        <f t="shared" si="89"/>
        <v>72765</v>
      </c>
      <c r="AO40" s="18">
        <f t="shared" ca="1" si="86"/>
        <v>44598.396149999993</v>
      </c>
      <c r="AP40" s="19">
        <v>30</v>
      </c>
      <c r="AQ40" s="18">
        <f t="shared" ca="1" si="87"/>
        <v>4596.2059608999998</v>
      </c>
      <c r="AR40" s="37">
        <f t="shared" si="88"/>
        <v>0</v>
      </c>
      <c r="BD40" s="17">
        <v>38</v>
      </c>
      <c r="BE40" s="21">
        <v>19</v>
      </c>
      <c r="BF40" s="22">
        <v>0.4</v>
      </c>
    </row>
    <row r="41" spans="24:58" ht="39.950000000000003" hidden="1" customHeight="1" x14ac:dyDescent="0.25">
      <c r="AA41" s="30" t="s">
        <v>45</v>
      </c>
      <c r="AB41" s="37">
        <v>4360</v>
      </c>
      <c r="AE41" s="18">
        <f ca="1">(AE29+AE30+AE31+AE32+AE33+AE34+AE35+AE36+AE37+AE38+AE39+AE40)</f>
        <v>0</v>
      </c>
      <c r="AF41" s="39">
        <f>(AF29+AF30+AF31+AF32+AF33+AF34+AF35+AF36+AF37+AF38+AF39+AF40)</f>
        <v>0</v>
      </c>
      <c r="AG41" s="18">
        <f t="shared" ref="AG41:AH41" si="90">(AG29+AG30+AG31+AG32+AG33+AG34+AG35+AG36+AG37+AG38+AG39+AG40)</f>
        <v>0</v>
      </c>
      <c r="AH41" s="18">
        <f t="shared" ca="1" si="90"/>
        <v>0</v>
      </c>
      <c r="AI41" s="18">
        <f>(AI29+AI30+AI31+AI32+AI33+AI34+AI35+AI36+AI37+AI38+AI39+AI40)</f>
        <v>72000</v>
      </c>
      <c r="AJ41" s="18">
        <f t="shared" ref="AJ41:AK41" ca="1" si="91">(AJ29+AJ30+AJ31+AJ32+AJ33+AJ34+AJ35+AJ36+AJ37+AJ38+AJ39+AJ40)</f>
        <v>62656.126818825272</v>
      </c>
      <c r="AK41" s="18">
        <f t="shared" si="91"/>
        <v>40522</v>
      </c>
      <c r="AL41" s="19">
        <f>(AL29+AL30+AL31+AL32+AL33+AL34+AL35+AL36+AL37+AL38+AL39+AL40)</f>
        <v>120</v>
      </c>
      <c r="AM41" s="18">
        <f t="shared" ref="AM41:AN41" si="92">(AM29+AM30+AM31+AM32+AM33+AM34+AM35+AM36+AM37+AM38+AM39+AM40)</f>
        <v>244000</v>
      </c>
      <c r="AN41" s="18">
        <f t="shared" si="92"/>
        <v>244000</v>
      </c>
      <c r="AO41" s="18">
        <f ca="1">(AO29+AO30+AO31+AO32+AO33+AO34+AO35+AO36+AO37+AO38+AO39+AO40)</f>
        <v>157408.82074830777</v>
      </c>
      <c r="AP41" s="19">
        <f>(AP29+AP30+AP31+AP32+AP33+AP34+AP35+AP36+AP37+AP38+AP39+AP40)</f>
        <v>360</v>
      </c>
      <c r="AQ41" s="18">
        <f ca="1">(AQ29+AQ30+AQ31+AQ32+AQ33+AQ34+AQ35+AQ36+AQ37+AQ38+AQ39+AQ40)</f>
        <v>51358.221277910568</v>
      </c>
      <c r="AR41" s="18">
        <f t="shared" ref="AR41" si="93">(AR29+AR30+AR31+AR32+AR33+AR34+AR35+AR36+AR37+AR38+AR39+AR40)</f>
        <v>0</v>
      </c>
      <c r="BD41" s="17">
        <v>39</v>
      </c>
      <c r="BE41" s="21">
        <v>19.5</v>
      </c>
      <c r="BF41" s="22">
        <v>0.41</v>
      </c>
    </row>
    <row r="42" spans="24:58" ht="39.950000000000003" hidden="1" customHeight="1" x14ac:dyDescent="0.25">
      <c r="AA42" s="30" t="s">
        <v>46</v>
      </c>
      <c r="AB42" s="37">
        <v>4360</v>
      </c>
      <c r="AE42" s="18">
        <f ca="1">(AE41/12)</f>
        <v>0</v>
      </c>
      <c r="AF42" s="23" t="s">
        <v>0</v>
      </c>
      <c r="AG42" s="18">
        <f t="shared" ref="AG42:AH42" si="94">(AG41/12)</f>
        <v>0</v>
      </c>
      <c r="AH42" s="18">
        <f t="shared" ca="1" si="94"/>
        <v>0</v>
      </c>
      <c r="AI42" s="18">
        <f>(AI41/12)</f>
        <v>6000</v>
      </c>
      <c r="AJ42" s="18">
        <f t="shared" ref="AJ42:AK42" ca="1" si="95">(AJ41/12)</f>
        <v>5221.3439015687727</v>
      </c>
      <c r="AK42" s="18">
        <f t="shared" si="95"/>
        <v>3376.8333333333335</v>
      </c>
      <c r="AL42" s="23" t="s">
        <v>0</v>
      </c>
      <c r="AM42" s="18">
        <f t="shared" ref="AM42:AN42" si="96">(AM41/12)</f>
        <v>20333.333333333332</v>
      </c>
      <c r="AN42" s="18">
        <f t="shared" si="96"/>
        <v>20333.333333333332</v>
      </c>
      <c r="AO42" s="18">
        <f ca="1">(AO41/12)</f>
        <v>13117.401729025647</v>
      </c>
      <c r="AP42" s="23" t="s">
        <v>0</v>
      </c>
      <c r="AQ42" s="18">
        <f ca="1">(AQ41/12)</f>
        <v>4279.8517731592137</v>
      </c>
      <c r="AR42" s="18">
        <f t="shared" ref="AR42" si="97">(AR41/12)</f>
        <v>0</v>
      </c>
      <c r="BD42" s="17">
        <v>40</v>
      </c>
      <c r="BE42" s="21">
        <v>20</v>
      </c>
      <c r="BF42" s="22">
        <v>0.42</v>
      </c>
    </row>
    <row r="43" spans="24:58" ht="39.950000000000003" hidden="1" customHeight="1" x14ac:dyDescent="0.25">
      <c r="AA43" s="30" t="s">
        <v>47</v>
      </c>
      <c r="AB43" s="37">
        <v>20000</v>
      </c>
      <c r="AE43" s="30" t="s">
        <v>1</v>
      </c>
      <c r="AF43" s="30" t="s">
        <v>1</v>
      </c>
      <c r="AG43" s="30" t="s">
        <v>1</v>
      </c>
      <c r="AH43" s="37">
        <f t="shared" ref="AH43:AH54" ca="1" si="98">COUNTIF(AE43,"Yok")*(0)
+COUNTIF(AE43,"Askerlik Yardımı")*($AB$40/AY73)
+COUNTIF(AE43,"Cenaze Yardımı (Anne-Baba)")*($AB$41+$AB$41*0.00759)
+COUNTIF(AE43,"Cenaze Yardımı (Eş-Çocuk)")*($AB$42+$AB$42*0.00759)
+COUNTIF(AE43,"Cenaze Yardımı (İşçi-İş Kazası Sonucu)")*($AB$43+$AB$43*0.00759)
+COUNTIF(AE43,"Cenaze Yardımı (İşçi-Tabii Sebepler Sonucu)")*($AB$44+$AB$44*0.00759)
+COUNTIF(AE43,"Doğal Afet Yardımı")*($AB$45+$AB$45*0.00759)
+COUNTIF(AE43,"Eğitim Yardımı (Çocuk-İlköğretim)")*($AB$46/AY73)
+COUNTIF(AE43,"Eğitim Yardımı (Çocuk-Ortaöğretim)")*($AB$47/AY73)
+COUNTIF(AE43,"Eğitim Yardımı (Çocuk-Lise)")*($AB$48/AY73)
+COUNTIF(AE43,"Eğitim Yardımı (Çocuk-Yükseköğretim)")*($AB$49/AY73)
+COUNTIF(AE43,"Eğitim Yardımı (İşçi-Lise)")*($AB$50/AY73)
+COUNTIF(AE43,"Eğitim Yardımı (İşçi-Yükseköğretim)")*($AB$51/AY73)
+COUNTIF(AE43,"Evlilik Yardımı")*($AB$52+$AB$52*0.00759)
+COUNTIF(AE43,"Gıda Yardımı")*($AB$53/AY73)
+COUNTIF(AE43,"İş Kazası veya Meslek Hastalığı Tazminatı")*($AB$54+$AB$54*0.00759)
+COUNTIF(AF43,"Yok")*(0)
+COUNTIF(AF43,"Askerlik Yardımı")*($AB$40/AY73)
+COUNTIF(AF43,"Cenaze Yardımı (Anne-Baba)")*($AB$41+$AB$41*0.00759)
+COUNTIF(AF43,"Cenaze Yardımı (Eş-Çocuk)")*($AB$42+$AB$42*0.00759)
+COUNTIF(AF43,"Cenaze Yardımı (İşçi-İş Kazası Sonucu)")*($AB$43+$AB$43*0.00759)
+COUNTIF(AF43,"Cenaze Yardımı (İşçi-Tabii Sebepler Sonucu)")*($AB$44+$AB$44*0.00759)
+COUNTIF(AF43,"Doğal Afet Yardımı")*($AB$45+$AB$45*0.00759)
+COUNTIF(AF43,"Eğitim Yardımı (Çocuk-İlköğretim)")*($AB$46/AY73)
+COUNTIF(AF43,"Eğitim Yardımı (Çocuk-Ortaöğretim)")*($AB$47/AY73)
+COUNTIF(AF43,"Eğitim Yardımı (Çocuk-Lise)")*($AB$48/AY73)
+COUNTIF(AF43,"Eğitim Yardımı (Çocuk-Yükseköğretim)")*($AB$49/AY73)
+COUNTIF(AF43,"Eğitim Yardımı (İşçi-Lise)")*($AB$50/AY73)
+COUNTIF(AF43,"Eğitim Yardımı (İşçi-Yükseköğretim)")*($AB$51/AY73)
+COUNTIF(AF43,"Evlilik Yardımı")*($AB$52+$AB$52*0.00759)
+COUNTIF(AF43,"Gıda Yardımı")*($AB$53/AY73)
+COUNTIF(AF43,"İş Kazası veya Meslek Hastalığı Tazminatı")*($AB$54+$AB$54*0.00759)
+COUNTIF(AG43,"Yok")*(0)
+COUNTIF(AG43,"Askerlik Yardımı")*($AB$40/AY73)
+COUNTIF(AG43,"Cenaze Yardımı (Anne-Baba)")*($AB$41+$AB$41*0.00759)
+COUNTIF(AG43,"Cenaze Yardımı (Eş-Çocuk)")*($AB$42+$AB$42*0.00759)
+COUNTIF(AG43,"Cenaze Yardımı (İşçi-İş Kazası Sonucu)")*($AB$43+$AB$43*0.00759)
+COUNTIF(AG43,"Cenaze Yardımı (İşçi-Tabii Sebepler Sonucu)")*($AB$44+$AB$44*0.00759)
+COUNTIF(AG43,"Doğal Afet Yardımı")*($AB$45+$AB$45*0.00759)
+COUNTIF(AG43,"Eğitim Yardımı (Çocuk-İlköğretim)")*($AB$46/AY73)
+COUNTIF(AG43,"Eğitim Yardımı (Çocuk-Ortaöğretim)")*($AB$47/AY73)
+COUNTIF(AG43,"Eğitim Yardımı (Çocuk-Lise)")*($AB$48/AY73)
+COUNTIF(AG43,"Eğitim Yardımı (Çocuk-Yükseköğretim)")*($AB$49/AY73)
+COUNTIF(AG43,"Eğitim Yardımı (İşçi-Lise)")*($AB$50/AY73)
+COUNTIF(AG43,"Eğitim Yardımı (İşçi-Yükseköğretim)")*($AB$51/AY73)
+COUNTIF(AG43,"Evlilik Yardımı")*($AB$52+$AB$52*0.00759)
+COUNTIF(AG43,"Gıda Yardımı")*($AB$53/AY73)
+COUNTIF(AG43,"İş Kazası veya Meslek Hastalığı Tazminatı")*($AB$54+$AB$54*0.00759)</f>
        <v>0</v>
      </c>
      <c r="AI43" s="37">
        <f t="shared" ref="AI43:AI54" si="99">COUNTIF(AE43,"Yok")*(0)
+COUNTIF(AE43,"Askerlik Yardımı")*(0)
+COUNTIF(AE43,"Cenaze Yardımı (Anne-Baba)")*($AB$41+$AB$41*0.00759)
+COUNTIF(AE43,"Cenaze Yardımı (Eş-Çocuk)")*($AB$42+$AB$42*0.00759)
+COUNTIF(AE43,"Cenaze Yardımı (İşçi-İş Kazası Sonucu)")*($AB$43+$AB$43*0.00759)
+COUNTIF(AE43,"Cenaze Yardımı (İşçi-Tabii Sebepler Sonucu)")*($AB$44+$AB$44*0.00759)
+COUNTIF(AE43,"Doğal Afet Yardımı")*($AB$45+$AB$45*0.00759)
+COUNTIF(AE43,"Eğitim Yardımı (Çocuk-İlköğretim)")*(0)
+COUNTIF(AE43,"Eğitim Yardımı (Çocuk-Ortaöğretim)")*(0)
+COUNTIF(AE43,"Eğitim Yardımı (Çocuk-Lise)")*(0)
+COUNTIF(AE43,"Eğitim Yardımı (Çocuk-Yükseköğretim)")*(0)
+COUNTIF(AE43,"Eğitim Yardımı (İşçi-Lise)")*(0)
+COUNTIF(AE43,"Eğitim Yardımı (İşçi-Yükseköğretim)")*(0)
+COUNTIF(AE43,"Evlilik Yardımı")*($AB$52+$AB$52*0.00759)
+COUNTIF(AE43,"Gıda Yardımı")*(0)
+COUNTIF(AE43,"İş Kazası veya Meslek Hastalığı Tazminatı")*($AB$54+$AB$54*0.00759)
+COUNTIF(AF43,"Yok")*(0)
+COUNTIF(AF43,"Askerlik Yardımı")*(0)
+COUNTIF(AF43,"Cenaze Yardımı (Anne-Baba)")*($AB$41+$AB$41*0.00759)
+COUNTIF(AF43,"Cenaze Yardımı (Eş-Çocuk)")*($AB$42+$AB$42*0.00759)
+COUNTIF(AF43,"Cenaze Yardımı (İşçi-İş Kazası Sonucu)")*($AB$43+$AB$43*0.00759)
+COUNTIF(AF43,"Cenaze Yardımı (İşçi-Tabii Sebepler Sonucu)")*($AB$44+$AB$44*0.00759)
+COUNTIF(AF43,"Doğal Afet Yardımı")*($AB$45+$AB$45*0.00759)
+COUNTIF(AF43,"Eğitim Yardımı (Çocuk-İlköğretim)")*(0)
+COUNTIF(AF43,"Eğitim Yardımı (Çocuk-Ortaöğretim)")*(0)
+COUNTIF(AF43,"Eğitim Yardımı (Çocuk-Lise)")*(0)
+COUNTIF(AF43,"Eğitim Yardımı (Çocuk-Yükseköğretim)")*(0)
+COUNTIF(AF43,"Eğitim Yardımı (İşçi-Lise)")*(0)
+COUNTIF(AF43,"Eğitim Yardımı (İşçi-Yükseköğretim)")*(0)
+COUNTIF(AF43,"Evlilik Yardımı")*($AB$52+$AB$52*0.00759)
+COUNTIF(AF43,"Gıda Yardımı")*(0)
+COUNTIF(AF43,"İş Kazası veya Meslek Hastalığı Tazminatı")*($AB$54+$AB$54*0.00759)
+COUNTIF(AG43,"Yok")*(0)
+COUNTIF(AG43,"Askerlik Yardımı")*(0)
+COUNTIF(AG43,"Cenaze Yardımı (Anne-Baba)")*($AB$41+$AB$41*0.00759)
+COUNTIF(AG43,"Cenaze Yardımı (Eş-Çocuk)")*($AB$42+$AB$42*0.00759)
+COUNTIF(AG43,"Cenaze Yardımı (İşçi-İş Kazası Sonucu)")*($AB$43+$AB$43*0.00759)
+COUNTIF(AG43,"Cenaze Yardımı (İşçi-Tabii Sebepler Sonucu)")*($AB$44+$AB$44*0.00759)
+COUNTIF(AG43,"Doğal Afet Yardımı")*($AB$45+$AB$45*0.00759)
+COUNTIF(AG43,"Eğitim Yardımı (Çocuk-İlköğretim)")*(0)
+COUNTIF(AG43,"Eğitim Yardımı (Çocuk-Ortaöğretim)")*(0)
+COUNTIF(AG43,"Eğitim Yardımı (Çocuk-Lise)")*(0)
+COUNTIF(AG43,"Eğitim Yardımı (Çocuk-Yükseköğretim)")*(0)
+COUNTIF(AG43,"Eğitim Yardımı (İşçi-Lise)")*(0)
+COUNTIF(AG43,"Eğitim Yardımı (İşçi-Yükseköğretim)")*(0)
+COUNTIF(AG43,"Evlilik Yardımı")*($AB$52+$AB$52*0.00759)
+COUNTIF(AG43,"Gıda Yardımı")*(0)
+COUNTIF(AG43,"İş Kazası veya Meslek Hastalığı Tazminatı")*($AB$54+$AB$54*0.00759)</f>
        <v>0</v>
      </c>
      <c r="AJ43" s="37">
        <f t="shared" ref="AJ43:AJ54" si="100">COUNTIF(AE43,"Yok")*(0)
+COUNTIF(AE43,"Askerlik Yardımı")*($AB$40)
+COUNTIF(AE43,"Cenaze Yardımı (Anne-Baba)")*($AB$41)
+COUNTIF(AE43,"Cenaze Yardımı (Eş-Çocuk)")*($AB$42)
+COUNTIF(AE43,"Cenaze Yardımı (İşçi-İş Kazası Sonucu)")*($AB$43)
+COUNTIF(AE43,"Cenaze Yardımı (İşçi-Tabii Sebepler Sonucu)")*($AB$44)
+COUNTIF(AE43,"Doğal Afet Yardımı")*($AB$45)
+COUNTIF(AE43,"Eğitim Yardımı (Çocuk-İlköğretim)")*($AB$46)
+COUNTIF(AE43,"Eğitim Yardımı (Çocuk-Ortaöğretim)")*($AB$47)
+COUNTIF(AE43,"Eğitim Yardımı (Çocuk-Lise)")*($AB$48)
+COUNTIF(AE43,"Eğitim Yardımı (Çocuk-Yükseköğretim)")*($AB$49)
+COUNTIF(AE43,"Eğitim Yardımı (İşçi-Lise)")*($AB$50)
+COUNTIF(AE43,"Eğitim Yardımı (İşçi-Yükseköğretim)")*($AB$51)
+COUNTIF(AE43,"Evlilik Yardımı")*($AB$52)
+COUNTIF(AE43,"Gıda Yardımı")*($AB$53)
+COUNTIF(AE43,"İş Kazası veya Meslek Hastalığı Tazminatı")*($AB$54)
+COUNTIF(AF43,"Yok")*(0)
+COUNTIF(AF43,"Askerlik Yardımı")*($AB$40)
+COUNTIF(AF43,"Cenaze Yardımı (Anne-Baba)")*($AB$41)
+COUNTIF(AF43,"Cenaze Yardımı (Eş-Çocuk)")*($AB$42)
+COUNTIF(AF43,"Cenaze Yardımı (İşçi-İş Kazası Sonucu)")*($AB$43)
+COUNTIF(AF43,"Cenaze Yardımı (İşçi-Tabii Sebepler Sonucu)")*($AB$44)
+COUNTIF(AF43,"Doğal Afet Yardımı")*($AB$45)
+COUNTIF(AF43,"Eğitim Yardımı (Çocuk-İlköğretim)")*($AB$46)
+COUNTIF(AF43,"Eğitim Yardımı (Çocuk-Ortaöğretim)")*($AB$47)
+COUNTIF(AF43,"Eğitim Yardımı (Çocuk-Lise)")*($AB$48)
+COUNTIF(AF43,"Eğitim Yardımı (Çocuk-Yükseköğretim)")*($AB$49)
+COUNTIF(AF43,"Eğitim Yardımı (İşçi-Lise)")*($AB$50)
+COUNTIF(AF43,"Eğitim Yardımı (İşçi-Yükseköğretim)")*($AB$51)
+COUNTIF(AF43,"Evlilik Yardımı")*($AB$52)
+COUNTIF(AF43,"Gıda Yardımı")*($AB$53)
+COUNTIF(AF43,"İş Kazası veya Meslek Hastalığı Tazminatı")*($AB$54)
+COUNTIF(AG43,"Yok")*(0)
+COUNTIF(AG43,"Askerlik Yardımı")*($AB$40)
+COUNTIF(AG43,"Cenaze Yardımı (Anne-Baba)")*($AB$41)
+COUNTIF(AG43,"Cenaze Yardımı (Eş-Çocuk)")*($AB$42)
+COUNTIF(AG43,"Cenaze Yardımı (İşçi-İş Kazası Sonucu)")*($AB$43)
+COUNTIF(AG43,"Cenaze Yardımı (İşçi-Tabii Sebepler Sonucu)")*($AB$44)
+COUNTIF(AG43,"Doğal Afet Yardımı")*($AB$45)
+COUNTIF(AG43,"Eğitim Yardımı (Çocuk-İlköğretim)")*($AB$46)
+COUNTIF(AG43,"Eğitim Yardımı (Çocuk-Ortaöğretim)")*($AB$47)
+COUNTIF(AG43,"Eğitim Yardımı (Çocuk-Lise)")*($AB$48)
+COUNTIF(AG43,"Eğitim Yardımı (Çocuk-Yükseköğretim)")*($AB$49)
+COUNTIF(AG43,"Eğitim Yardımı (İşçi-Lise)")*($AB$50)
+COUNTIF(AG43,"Eğitim Yardımı (İşçi-Yükseköğretim)")*($AB$51)
+COUNTIF(AG43,"Evlilik Yardımı")*($AB$52)
+COUNTIF(AG43,"Gıda Yardımı")*($AB$53)
+COUNTIF(AG43,"İş Kazası veya Meslek Hastalığı Tazminatı")*($AB$54)</f>
        <v>0</v>
      </c>
      <c r="AK43" s="30" t="s">
        <v>1</v>
      </c>
      <c r="AL43" s="18">
        <f t="shared" ref="AL43:AL54" si="101">COUNTIF(AK43,"Var")*(E15*0.9*-1)</f>
        <v>0</v>
      </c>
      <c r="AM43" s="18">
        <f>(AL43*-1)</f>
        <v>0</v>
      </c>
      <c r="AN43" s="37">
        <f t="shared" ref="AN43:AN54" ca="1" si="102">(AK73*L15+AO43)*-1</f>
        <v>0</v>
      </c>
      <c r="AO43" s="37">
        <f t="shared" ref="AO43:AO54" si="103">(AO15+AQ15+AS15+AG29+AI29-AK1)*(L15*-1)</f>
        <v>0</v>
      </c>
      <c r="AP43" s="37">
        <f ca="1">(AN43+AO43)</f>
        <v>0</v>
      </c>
      <c r="BD43" s="17">
        <v>41</v>
      </c>
      <c r="BE43" s="21">
        <v>20.5</v>
      </c>
      <c r="BF43" s="22">
        <v>0.43</v>
      </c>
    </row>
    <row r="44" spans="24:58" ht="39.950000000000003" hidden="1" customHeight="1" x14ac:dyDescent="0.25">
      <c r="AA44" s="30" t="s">
        <v>48</v>
      </c>
      <c r="AB44" s="37">
        <v>20000</v>
      </c>
      <c r="AE44" s="30" t="s">
        <v>1</v>
      </c>
      <c r="AF44" s="30" t="s">
        <v>1</v>
      </c>
      <c r="AG44" s="30" t="s">
        <v>1</v>
      </c>
      <c r="AH44" s="37">
        <f t="shared" ca="1" si="98"/>
        <v>0</v>
      </c>
      <c r="AI44" s="37">
        <f t="shared" si="99"/>
        <v>0</v>
      </c>
      <c r="AJ44" s="37">
        <f t="shared" si="100"/>
        <v>0</v>
      </c>
      <c r="AK44" s="30" t="s">
        <v>1</v>
      </c>
      <c r="AL44" s="18">
        <f t="shared" si="101"/>
        <v>0</v>
      </c>
      <c r="AM44" s="18">
        <f t="shared" ref="AM44:AM54" si="104">(AL44*-1)</f>
        <v>0</v>
      </c>
      <c r="AN44" s="37">
        <f t="shared" ca="1" si="102"/>
        <v>0</v>
      </c>
      <c r="AO44" s="37">
        <f t="shared" si="103"/>
        <v>0</v>
      </c>
      <c r="AP44" s="37">
        <f t="shared" ref="AP44:AP54" ca="1" si="105">(AN44+AO44)</f>
        <v>0</v>
      </c>
      <c r="BD44" s="17">
        <v>42</v>
      </c>
      <c r="BE44" s="21">
        <v>21</v>
      </c>
      <c r="BF44" s="22">
        <v>0.44</v>
      </c>
    </row>
    <row r="45" spans="24:58" ht="39.950000000000003" hidden="1" customHeight="1" x14ac:dyDescent="0.25">
      <c r="AA45" s="30" t="s">
        <v>2</v>
      </c>
      <c r="AB45" s="37">
        <v>12000</v>
      </c>
      <c r="AE45" s="30" t="s">
        <v>1</v>
      </c>
      <c r="AF45" s="30" t="s">
        <v>1</v>
      </c>
      <c r="AG45" s="30" t="s">
        <v>1</v>
      </c>
      <c r="AH45" s="37">
        <f t="shared" ca="1" si="98"/>
        <v>0</v>
      </c>
      <c r="AI45" s="37">
        <f t="shared" si="99"/>
        <v>0</v>
      </c>
      <c r="AJ45" s="37">
        <f t="shared" si="100"/>
        <v>0</v>
      </c>
      <c r="AK45" s="30" t="s">
        <v>1</v>
      </c>
      <c r="AL45" s="18">
        <f t="shared" si="101"/>
        <v>0</v>
      </c>
      <c r="AM45" s="18">
        <f t="shared" si="104"/>
        <v>0</v>
      </c>
      <c r="AN45" s="37">
        <f t="shared" ca="1" si="102"/>
        <v>0</v>
      </c>
      <c r="AO45" s="37">
        <f t="shared" si="103"/>
        <v>0</v>
      </c>
      <c r="AP45" s="37">
        <f t="shared" ca="1" si="105"/>
        <v>0</v>
      </c>
      <c r="BD45" s="17">
        <v>43</v>
      </c>
      <c r="BE45" s="21">
        <v>21.5</v>
      </c>
      <c r="BF45" s="22">
        <v>0.45</v>
      </c>
    </row>
    <row r="46" spans="24:58" ht="39.950000000000003" hidden="1" customHeight="1" x14ac:dyDescent="0.25">
      <c r="AA46" s="30" t="s">
        <v>51</v>
      </c>
      <c r="AB46" s="37">
        <v>2892</v>
      </c>
      <c r="AE46" s="30" t="s">
        <v>1</v>
      </c>
      <c r="AF46" s="30" t="s">
        <v>1</v>
      </c>
      <c r="AG46" s="30" t="s">
        <v>1</v>
      </c>
      <c r="AH46" s="37">
        <f t="shared" ca="1" si="98"/>
        <v>0</v>
      </c>
      <c r="AI46" s="37">
        <f t="shared" si="99"/>
        <v>0</v>
      </c>
      <c r="AJ46" s="37">
        <f t="shared" si="100"/>
        <v>0</v>
      </c>
      <c r="AK46" s="30" t="s">
        <v>1</v>
      </c>
      <c r="AL46" s="18">
        <f t="shared" si="101"/>
        <v>0</v>
      </c>
      <c r="AM46" s="18">
        <f t="shared" si="104"/>
        <v>0</v>
      </c>
      <c r="AN46" s="37">
        <f t="shared" ca="1" si="102"/>
        <v>0</v>
      </c>
      <c r="AO46" s="37">
        <f t="shared" si="103"/>
        <v>0</v>
      </c>
      <c r="AP46" s="37">
        <f t="shared" ca="1" si="105"/>
        <v>0</v>
      </c>
      <c r="BD46" s="17">
        <v>44</v>
      </c>
      <c r="BE46" s="21">
        <v>22</v>
      </c>
      <c r="BF46" s="22">
        <v>0.46</v>
      </c>
    </row>
    <row r="47" spans="24:58" ht="39.950000000000003" hidden="1" customHeight="1" x14ac:dyDescent="0.25">
      <c r="AA47" s="30" t="s">
        <v>52</v>
      </c>
      <c r="AB47" s="37">
        <v>2892</v>
      </c>
      <c r="AE47" s="30" t="s">
        <v>1</v>
      </c>
      <c r="AF47" s="30" t="s">
        <v>1</v>
      </c>
      <c r="AG47" s="30" t="s">
        <v>1</v>
      </c>
      <c r="AH47" s="37">
        <f t="shared" ca="1" si="98"/>
        <v>0</v>
      </c>
      <c r="AI47" s="37">
        <f t="shared" si="99"/>
        <v>0</v>
      </c>
      <c r="AJ47" s="37">
        <f t="shared" si="100"/>
        <v>0</v>
      </c>
      <c r="AK47" s="30" t="s">
        <v>1</v>
      </c>
      <c r="AL47" s="18">
        <f t="shared" si="101"/>
        <v>0</v>
      </c>
      <c r="AM47" s="18">
        <f t="shared" si="104"/>
        <v>0</v>
      </c>
      <c r="AN47" s="37">
        <f t="shared" ca="1" si="102"/>
        <v>0</v>
      </c>
      <c r="AO47" s="37">
        <f t="shared" si="103"/>
        <v>0</v>
      </c>
      <c r="AP47" s="37">
        <f t="shared" ca="1" si="105"/>
        <v>0</v>
      </c>
      <c r="BD47" s="17">
        <v>45</v>
      </c>
      <c r="BE47" s="21">
        <v>22.5</v>
      </c>
      <c r="BF47" s="22">
        <v>0.47</v>
      </c>
    </row>
    <row r="48" spans="24:58" ht="39.950000000000003" hidden="1" customHeight="1" x14ac:dyDescent="0.25">
      <c r="AA48" s="30" t="s">
        <v>53</v>
      </c>
      <c r="AB48" s="37">
        <v>3623</v>
      </c>
      <c r="AE48" s="30" t="s">
        <v>1</v>
      </c>
      <c r="AF48" s="30" t="s">
        <v>1</v>
      </c>
      <c r="AG48" s="30" t="s">
        <v>1</v>
      </c>
      <c r="AH48" s="37">
        <f t="shared" ca="1" si="98"/>
        <v>0</v>
      </c>
      <c r="AI48" s="37">
        <f t="shared" si="99"/>
        <v>0</v>
      </c>
      <c r="AJ48" s="37">
        <f t="shared" si="100"/>
        <v>0</v>
      </c>
      <c r="AK48" s="30" t="s">
        <v>1</v>
      </c>
      <c r="AL48" s="18">
        <f t="shared" si="101"/>
        <v>0</v>
      </c>
      <c r="AM48" s="18">
        <f t="shared" si="104"/>
        <v>0</v>
      </c>
      <c r="AN48" s="37">
        <f t="shared" ca="1" si="102"/>
        <v>0</v>
      </c>
      <c r="AO48" s="37">
        <f t="shared" si="103"/>
        <v>0</v>
      </c>
      <c r="AP48" s="37">
        <f t="shared" ca="1" si="105"/>
        <v>0</v>
      </c>
      <c r="BD48" s="17">
        <v>46</v>
      </c>
      <c r="BE48" s="21">
        <v>23</v>
      </c>
      <c r="BF48" s="22">
        <v>0.48</v>
      </c>
    </row>
    <row r="49" spans="27:58" ht="39.950000000000003" hidden="1" customHeight="1" x14ac:dyDescent="0.25">
      <c r="AA49" s="30" t="s">
        <v>54</v>
      </c>
      <c r="AB49" s="37">
        <v>5422</v>
      </c>
      <c r="AE49" s="30" t="s">
        <v>1</v>
      </c>
      <c r="AF49" s="30" t="s">
        <v>1</v>
      </c>
      <c r="AG49" s="30" t="s">
        <v>1</v>
      </c>
      <c r="AH49" s="37">
        <f t="shared" ca="1" si="98"/>
        <v>0</v>
      </c>
      <c r="AI49" s="37">
        <f t="shared" si="99"/>
        <v>0</v>
      </c>
      <c r="AJ49" s="37">
        <f t="shared" si="100"/>
        <v>0</v>
      </c>
      <c r="AK49" s="30" t="s">
        <v>1</v>
      </c>
      <c r="AL49" s="18">
        <f t="shared" si="101"/>
        <v>0</v>
      </c>
      <c r="AM49" s="18">
        <f t="shared" si="104"/>
        <v>0</v>
      </c>
      <c r="AN49" s="37">
        <f t="shared" ca="1" si="102"/>
        <v>0</v>
      </c>
      <c r="AO49" s="37">
        <f t="shared" si="103"/>
        <v>0</v>
      </c>
      <c r="AP49" s="37">
        <f t="shared" ca="1" si="105"/>
        <v>0</v>
      </c>
      <c r="BD49" s="17">
        <v>47</v>
      </c>
      <c r="BE49" s="21">
        <v>23.5</v>
      </c>
      <c r="BF49" s="22">
        <v>0.49</v>
      </c>
    </row>
    <row r="50" spans="27:58" ht="39.950000000000003" hidden="1" customHeight="1" x14ac:dyDescent="0.25">
      <c r="AA50" s="30" t="s">
        <v>49</v>
      </c>
      <c r="AB50" s="37">
        <v>3623</v>
      </c>
      <c r="AE50" s="30" t="s">
        <v>1</v>
      </c>
      <c r="AF50" s="30" t="s">
        <v>1</v>
      </c>
      <c r="AG50" s="30" t="s">
        <v>1</v>
      </c>
      <c r="AH50" s="37">
        <f t="shared" ca="1" si="98"/>
        <v>0</v>
      </c>
      <c r="AI50" s="37">
        <f t="shared" si="99"/>
        <v>0</v>
      </c>
      <c r="AJ50" s="37">
        <f t="shared" si="100"/>
        <v>0</v>
      </c>
      <c r="AK50" s="30" t="s">
        <v>1</v>
      </c>
      <c r="AL50" s="18">
        <f t="shared" si="101"/>
        <v>0</v>
      </c>
      <c r="AM50" s="18">
        <f t="shared" si="104"/>
        <v>0</v>
      </c>
      <c r="AN50" s="37">
        <f t="shared" ca="1" si="102"/>
        <v>0</v>
      </c>
      <c r="AO50" s="37">
        <f t="shared" si="103"/>
        <v>0</v>
      </c>
      <c r="AP50" s="37">
        <f t="shared" ca="1" si="105"/>
        <v>0</v>
      </c>
      <c r="BD50" s="17">
        <v>48</v>
      </c>
      <c r="BE50" s="21">
        <v>24</v>
      </c>
      <c r="BF50" s="22">
        <v>0.5</v>
      </c>
    </row>
    <row r="51" spans="27:58" ht="39.950000000000003" hidden="1" customHeight="1" x14ac:dyDescent="0.25">
      <c r="AA51" s="30" t="s">
        <v>50</v>
      </c>
      <c r="AB51" s="37">
        <v>5422</v>
      </c>
      <c r="AE51" s="30" t="s">
        <v>1</v>
      </c>
      <c r="AF51" s="30" t="s">
        <v>1</v>
      </c>
      <c r="AG51" s="30" t="s">
        <v>1</v>
      </c>
      <c r="AH51" s="37">
        <f t="shared" ca="1" si="98"/>
        <v>0</v>
      </c>
      <c r="AI51" s="37">
        <f t="shared" si="99"/>
        <v>0</v>
      </c>
      <c r="AJ51" s="37">
        <f t="shared" si="100"/>
        <v>0</v>
      </c>
      <c r="AK51" s="30" t="s">
        <v>1</v>
      </c>
      <c r="AL51" s="18">
        <f t="shared" si="101"/>
        <v>0</v>
      </c>
      <c r="AM51" s="18">
        <f t="shared" si="104"/>
        <v>0</v>
      </c>
      <c r="AN51" s="37">
        <f t="shared" ca="1" si="102"/>
        <v>0</v>
      </c>
      <c r="AO51" s="37">
        <f t="shared" si="103"/>
        <v>0</v>
      </c>
      <c r="AP51" s="37">
        <f t="shared" ca="1" si="105"/>
        <v>0</v>
      </c>
      <c r="BD51" s="17">
        <v>49</v>
      </c>
      <c r="BE51" s="21">
        <v>24.5</v>
      </c>
      <c r="BF51" s="40" t="s">
        <v>0</v>
      </c>
    </row>
    <row r="52" spans="27:58" ht="39.950000000000003" hidden="1" customHeight="1" x14ac:dyDescent="0.25">
      <c r="AA52" s="30" t="s">
        <v>8</v>
      </c>
      <c r="AB52" s="37">
        <v>5000</v>
      </c>
      <c r="AE52" s="30" t="s">
        <v>1</v>
      </c>
      <c r="AF52" s="30" t="s">
        <v>1</v>
      </c>
      <c r="AG52" s="30" t="s">
        <v>1</v>
      </c>
      <c r="AH52" s="37">
        <f t="shared" ca="1" si="98"/>
        <v>0</v>
      </c>
      <c r="AI52" s="37">
        <f t="shared" si="99"/>
        <v>0</v>
      </c>
      <c r="AJ52" s="37">
        <f t="shared" si="100"/>
        <v>0</v>
      </c>
      <c r="AK52" s="30" t="s">
        <v>1</v>
      </c>
      <c r="AL52" s="18">
        <f t="shared" si="101"/>
        <v>0</v>
      </c>
      <c r="AM52" s="18">
        <f t="shared" si="104"/>
        <v>0</v>
      </c>
      <c r="AN52" s="37">
        <f t="shared" ca="1" si="102"/>
        <v>0</v>
      </c>
      <c r="AO52" s="37">
        <f t="shared" si="103"/>
        <v>0</v>
      </c>
      <c r="AP52" s="37">
        <f t="shared" ca="1" si="105"/>
        <v>0</v>
      </c>
      <c r="BD52" s="17">
        <v>50</v>
      </c>
      <c r="BE52" s="21">
        <v>25</v>
      </c>
      <c r="BF52" s="40" t="s">
        <v>0</v>
      </c>
    </row>
    <row r="53" spans="27:58" ht="39.950000000000003" hidden="1" customHeight="1" x14ac:dyDescent="0.25">
      <c r="AA53" s="30" t="s">
        <v>25</v>
      </c>
      <c r="AB53" s="37">
        <v>2825.79</v>
      </c>
      <c r="AE53" s="30" t="s">
        <v>1</v>
      </c>
      <c r="AF53" s="30" t="s">
        <v>1</v>
      </c>
      <c r="AG53" s="30" t="s">
        <v>1</v>
      </c>
      <c r="AH53" s="37">
        <f t="shared" ca="1" si="98"/>
        <v>0</v>
      </c>
      <c r="AI53" s="37">
        <f t="shared" si="99"/>
        <v>0</v>
      </c>
      <c r="AJ53" s="37">
        <f t="shared" si="100"/>
        <v>0</v>
      </c>
      <c r="AK53" s="30" t="s">
        <v>1</v>
      </c>
      <c r="AL53" s="18">
        <f t="shared" si="101"/>
        <v>0</v>
      </c>
      <c r="AM53" s="18">
        <f t="shared" si="104"/>
        <v>0</v>
      </c>
      <c r="AN53" s="37">
        <f t="shared" ca="1" si="102"/>
        <v>0</v>
      </c>
      <c r="AO53" s="37">
        <f t="shared" si="103"/>
        <v>0</v>
      </c>
      <c r="AP53" s="37">
        <f t="shared" ca="1" si="105"/>
        <v>0</v>
      </c>
      <c r="BD53" s="17">
        <v>51</v>
      </c>
      <c r="BE53" s="21">
        <v>25.5</v>
      </c>
      <c r="BF53" s="40" t="s">
        <v>0</v>
      </c>
    </row>
    <row r="54" spans="27:58" ht="39.950000000000003" hidden="1" customHeight="1" x14ac:dyDescent="0.25">
      <c r="AA54" s="30" t="s">
        <v>22</v>
      </c>
      <c r="AB54" s="37">
        <v>35000</v>
      </c>
      <c r="AE54" s="30" t="s">
        <v>1</v>
      </c>
      <c r="AF54" s="30" t="s">
        <v>1</v>
      </c>
      <c r="AG54" s="30" t="s">
        <v>1</v>
      </c>
      <c r="AH54" s="37">
        <f t="shared" ca="1" si="98"/>
        <v>0</v>
      </c>
      <c r="AI54" s="37">
        <f t="shared" si="99"/>
        <v>0</v>
      </c>
      <c r="AJ54" s="37">
        <f t="shared" si="100"/>
        <v>0</v>
      </c>
      <c r="AK54" s="30" t="s">
        <v>1</v>
      </c>
      <c r="AL54" s="18">
        <f t="shared" si="101"/>
        <v>0</v>
      </c>
      <c r="AM54" s="18">
        <f t="shared" si="104"/>
        <v>0</v>
      </c>
      <c r="AN54" s="37">
        <f t="shared" ca="1" si="102"/>
        <v>0</v>
      </c>
      <c r="AO54" s="37">
        <f t="shared" si="103"/>
        <v>0</v>
      </c>
      <c r="AP54" s="37">
        <f t="shared" ca="1" si="105"/>
        <v>0</v>
      </c>
      <c r="BD54" s="17">
        <v>52</v>
      </c>
      <c r="BE54" s="21">
        <v>26</v>
      </c>
      <c r="BF54" s="40" t="s">
        <v>0</v>
      </c>
    </row>
    <row r="55" spans="27:58" ht="39.950000000000003" hidden="1" customHeight="1" x14ac:dyDescent="0.25">
      <c r="AE55" s="23" t="s">
        <v>0</v>
      </c>
      <c r="AF55" s="23" t="s">
        <v>0</v>
      </c>
      <c r="AG55" s="23" t="s">
        <v>0</v>
      </c>
      <c r="AH55" s="18">
        <f t="shared" ref="AH55" ca="1" si="106">(AH43+AH44+AH45+AH46+AH47+AH48+AH49+AH50+AH51+AH52+AH53+AH54)</f>
        <v>0</v>
      </c>
      <c r="AI55" s="18">
        <f t="shared" ref="AI55" si="107">(AI43+AI44+AI45+AI46+AI47+AI48+AI49+AI50+AI51+AI52+AI53+AI54)</f>
        <v>0</v>
      </c>
      <c r="AJ55" s="18">
        <f t="shared" ref="AJ55" si="108">(AJ43+AJ44+AJ45+AJ46+AJ47+AJ48+AJ49+AJ50+AJ51+AJ52+AJ53+AJ54)</f>
        <v>0</v>
      </c>
      <c r="AK55" s="23" t="s">
        <v>0</v>
      </c>
      <c r="AL55" s="18">
        <f t="shared" ref="AL55:AM55" si="109">(AL43+AL44+AL45+AL46+AL47+AL48+AL49+AL50+AL51+AL52+AL53+AL54)</f>
        <v>0</v>
      </c>
      <c r="AM55" s="18">
        <f t="shared" si="109"/>
        <v>0</v>
      </c>
      <c r="AN55" s="18">
        <f t="shared" ref="AN55:AP55" ca="1" si="110">(AN43+AN44+AN45+AN46+AN47+AN48+AN49+AN50+AN51+AN52+AN53+AN54)</f>
        <v>0</v>
      </c>
      <c r="AO55" s="18">
        <f t="shared" si="110"/>
        <v>0</v>
      </c>
      <c r="AP55" s="18">
        <f t="shared" ca="1" si="110"/>
        <v>0</v>
      </c>
      <c r="BD55" s="17">
        <v>53</v>
      </c>
      <c r="BE55" s="21">
        <v>26.5</v>
      </c>
      <c r="BF55" s="40" t="s">
        <v>0</v>
      </c>
    </row>
    <row r="56" spans="27:58" ht="39.950000000000003" hidden="1" customHeight="1" x14ac:dyDescent="0.25">
      <c r="AE56" s="23" t="s">
        <v>0</v>
      </c>
      <c r="AF56" s="23" t="s">
        <v>0</v>
      </c>
      <c r="AG56" s="23" t="s">
        <v>0</v>
      </c>
      <c r="AH56" s="18">
        <f t="shared" ref="AH56" ca="1" si="111">AH55/12</f>
        <v>0</v>
      </c>
      <c r="AI56" s="18">
        <f t="shared" ref="AI56" si="112">AI55/12</f>
        <v>0</v>
      </c>
      <c r="AJ56" s="18">
        <f t="shared" ref="AJ56" si="113">AJ55/12</f>
        <v>0</v>
      </c>
      <c r="AK56" s="23" t="s">
        <v>0</v>
      </c>
      <c r="AL56" s="18">
        <f t="shared" ref="AL56:AM56" si="114">(AL55/12)</f>
        <v>0</v>
      </c>
      <c r="AM56" s="18">
        <f t="shared" si="114"/>
        <v>0</v>
      </c>
      <c r="AN56" s="18">
        <f t="shared" ref="AN56:AP56" ca="1" si="115">(AN55/12)</f>
        <v>0</v>
      </c>
      <c r="AO56" s="18">
        <f t="shared" si="115"/>
        <v>0</v>
      </c>
      <c r="AP56" s="18">
        <f t="shared" ca="1" si="115"/>
        <v>0</v>
      </c>
      <c r="BD56" s="17">
        <v>54</v>
      </c>
      <c r="BE56" s="21">
        <v>27</v>
      </c>
      <c r="BF56" s="40" t="s">
        <v>0</v>
      </c>
    </row>
    <row r="57" spans="27:58" ht="39.950000000000003" hidden="1" customHeight="1" x14ac:dyDescent="0.25">
      <c r="AV57" s="18">
        <f>(0)</f>
        <v>0</v>
      </c>
      <c r="AW57" s="41">
        <f>(0%)</f>
        <v>0</v>
      </c>
      <c r="BD57" s="17">
        <v>55</v>
      </c>
      <c r="BE57" s="21">
        <v>27.5</v>
      </c>
      <c r="BF57" s="40" t="s">
        <v>0</v>
      </c>
    </row>
    <row r="58" spans="27:58" ht="39.950000000000003" hidden="1" customHeight="1" x14ac:dyDescent="0.25">
      <c r="AE58" s="18">
        <f t="shared" ref="AE58:AE63" si="116">($AC$8)</f>
        <v>33030</v>
      </c>
      <c r="AF58" s="18">
        <f>(AE58)</f>
        <v>33030</v>
      </c>
      <c r="AG58" s="18">
        <f>(AE58-AF58)</f>
        <v>0</v>
      </c>
      <c r="AH58" s="18">
        <f t="shared" ref="AH58:AH69" si="117">(AG58*0.00759*-1)</f>
        <v>0</v>
      </c>
      <c r="AI58" s="18">
        <f>(AE58*0.00759)</f>
        <v>250.69770000000003</v>
      </c>
      <c r="AJ58" s="18">
        <f t="shared" ref="AJ58:AJ69" si="118">(AE58)</f>
        <v>33030</v>
      </c>
      <c r="AK58" s="18">
        <f>(0)</f>
        <v>0</v>
      </c>
      <c r="AL58" s="18">
        <f>(AJ58-AK58)</f>
        <v>33030</v>
      </c>
      <c r="AM58" s="18">
        <f>(AL58*0.14*-1)</f>
        <v>-4624.2000000000007</v>
      </c>
      <c r="AN58" s="18">
        <f>(AL58*0.01*-1)</f>
        <v>-330.3</v>
      </c>
      <c r="AO58" s="42">
        <v>0.15</v>
      </c>
      <c r="AP58" s="18">
        <v>0</v>
      </c>
      <c r="AQ58" s="18">
        <v>190000</v>
      </c>
      <c r="AR58" s="18">
        <v>0</v>
      </c>
      <c r="AS58" s="18">
        <f t="shared" ref="AS58:AS69" si="119">(AE58+AM58+AN58)</f>
        <v>28075.5</v>
      </c>
      <c r="AT58" s="18">
        <f>(0)</f>
        <v>0</v>
      </c>
      <c r="AU58" s="18">
        <f>(AS58-AT58)</f>
        <v>28075.5</v>
      </c>
      <c r="AV58" s="18">
        <f>SUM(AU$58:$AU58)</f>
        <v>28075.5</v>
      </c>
      <c r="AW58" s="41">
        <f t="shared" ref="AW58:AW69" si="120">IF(AV58&lt;=$AQ$58,$AO$58,
IF(AV58&gt;$AQ$60,
IF(AV58&gt;$AQ$61,$AO$62,$AO$61),
IF(AV58&lt;$AQ$59,$AO$59,$AO$60)))</f>
        <v>0.15</v>
      </c>
      <c r="AX58" s="30">
        <f>IF(AW58-AW57=0,0,1)</f>
        <v>1</v>
      </c>
      <c r="AY58" s="43">
        <f t="shared" ref="AY58:AY69" si="121">IF(AX58=0,AW58,(VLOOKUP($AW58,$AO$58:$AR$62,2,0)-AV57)/AU58*AW57+(AV58-VLOOKUP($AW58,$AO$58:$AR$62,2,0))/AU58*AW58)</f>
        <v>0.15</v>
      </c>
      <c r="AZ58" s="18">
        <f>(ROUND(AU58*AY58,2)+VLOOKUP(AW58,$AO$58:$AR$62,4,0))</f>
        <v>4211.33</v>
      </c>
      <c r="BA58" s="43">
        <f>(100+(100*0.00759*-1)+(100*0.01*-1)+(100*0.01*-1)+(100+100*0.14*-1+100*0.01*-1)*AY58*-1)/100</f>
        <v>0.84491000000000005</v>
      </c>
      <c r="BB58" s="18">
        <f t="shared" ref="BB58:BB69" si="122">AE58</f>
        <v>33030</v>
      </c>
      <c r="BC58" s="18">
        <f t="shared" ref="BC58:BC69" si="123">AE58+AH58+AM58+AN58</f>
        <v>28075.5</v>
      </c>
      <c r="BD58" s="17">
        <v>56</v>
      </c>
      <c r="BE58" s="21">
        <v>28</v>
      </c>
      <c r="BF58" s="40" t="s">
        <v>0</v>
      </c>
    </row>
    <row r="59" spans="27:58" ht="39.950000000000003" hidden="1" customHeight="1" x14ac:dyDescent="0.25">
      <c r="AE59" s="18">
        <f t="shared" si="116"/>
        <v>33030</v>
      </c>
      <c r="AF59" s="18">
        <f t="shared" ref="AF59:AF69" si="124">(AE59)</f>
        <v>33030</v>
      </c>
      <c r="AG59" s="18">
        <f t="shared" ref="AG59:AG69" si="125">(AE59-AF59)</f>
        <v>0</v>
      </c>
      <c r="AH59" s="18">
        <f t="shared" si="117"/>
        <v>0</v>
      </c>
      <c r="AI59" s="18">
        <f t="shared" ref="AI59:AI69" si="126">(AE59*0.00759)</f>
        <v>250.69770000000003</v>
      </c>
      <c r="AJ59" s="18">
        <f t="shared" si="118"/>
        <v>33030</v>
      </c>
      <c r="AK59" s="18">
        <f>(0)</f>
        <v>0</v>
      </c>
      <c r="AL59" s="18">
        <f t="shared" ref="AL59:AL69" si="127">(AJ59-AK59)</f>
        <v>33030</v>
      </c>
      <c r="AM59" s="18">
        <f t="shared" ref="AM59:AM69" si="128">(AL59*0.14*-1)</f>
        <v>-4624.2000000000007</v>
      </c>
      <c r="AN59" s="18">
        <f t="shared" ref="AN59:AN69" si="129">(AL59*0.01*-1)</f>
        <v>-330.3</v>
      </c>
      <c r="AO59" s="42">
        <v>0.2</v>
      </c>
      <c r="AP59" s="18">
        <f>$AQ$58</f>
        <v>190000</v>
      </c>
      <c r="AQ59" s="18">
        <v>400000</v>
      </c>
      <c r="AR59" s="18">
        <f>(AQ58-AP58)*AO58+AR58</f>
        <v>28500</v>
      </c>
      <c r="AS59" s="18">
        <f t="shared" si="119"/>
        <v>28075.5</v>
      </c>
      <c r="AT59" s="18">
        <f>(0)</f>
        <v>0</v>
      </c>
      <c r="AU59" s="18">
        <f t="shared" ref="AU59:AU69" si="130">(AS59-AT59)</f>
        <v>28075.5</v>
      </c>
      <c r="AV59" s="18">
        <f>SUM(AU$58:$AU59)</f>
        <v>56151</v>
      </c>
      <c r="AW59" s="41">
        <f t="shared" si="120"/>
        <v>0.15</v>
      </c>
      <c r="AX59" s="30">
        <f t="shared" ref="AX59:AX69" si="131">IF(AW59-AW58=0,0,1)</f>
        <v>0</v>
      </c>
      <c r="AY59" s="43">
        <f t="shared" si="121"/>
        <v>0.15</v>
      </c>
      <c r="AZ59" s="18">
        <f>(ROUND(AU59*AY59,2))</f>
        <v>4211.33</v>
      </c>
      <c r="BA59" s="43">
        <f t="shared" ref="BA59:BA69" si="132">(100+(100*0.00759*-1)+(100*0.01*-1)+(100*0.01*-1)+(100+100*0.14*-1+100*0.01*-1)*AY59*-1)/100</f>
        <v>0.84491000000000005</v>
      </c>
      <c r="BB59" s="18">
        <f t="shared" si="122"/>
        <v>33030</v>
      </c>
      <c r="BC59" s="18">
        <f t="shared" si="123"/>
        <v>28075.5</v>
      </c>
      <c r="BD59" s="17">
        <v>57</v>
      </c>
      <c r="BE59" s="21">
        <v>28.5</v>
      </c>
      <c r="BF59" s="40" t="s">
        <v>0</v>
      </c>
    </row>
    <row r="60" spans="27:58" ht="39.950000000000003" hidden="1" customHeight="1" x14ac:dyDescent="0.25">
      <c r="AE60" s="18">
        <f t="shared" si="116"/>
        <v>33030</v>
      </c>
      <c r="AF60" s="18">
        <f t="shared" si="124"/>
        <v>33030</v>
      </c>
      <c r="AG60" s="18">
        <f t="shared" si="125"/>
        <v>0</v>
      </c>
      <c r="AH60" s="18">
        <f t="shared" si="117"/>
        <v>0</v>
      </c>
      <c r="AI60" s="18">
        <f t="shared" si="126"/>
        <v>250.69770000000003</v>
      </c>
      <c r="AJ60" s="18">
        <f t="shared" si="118"/>
        <v>33030</v>
      </c>
      <c r="AK60" s="18">
        <f>(0)</f>
        <v>0</v>
      </c>
      <c r="AL60" s="18">
        <f t="shared" si="127"/>
        <v>33030</v>
      </c>
      <c r="AM60" s="18">
        <f t="shared" si="128"/>
        <v>-4624.2000000000007</v>
      </c>
      <c r="AN60" s="18">
        <f t="shared" si="129"/>
        <v>-330.3</v>
      </c>
      <c r="AO60" s="42">
        <v>0.27</v>
      </c>
      <c r="AP60" s="18">
        <f>$AQ$59</f>
        <v>400000</v>
      </c>
      <c r="AQ60" s="18">
        <v>1500000</v>
      </c>
      <c r="AR60" s="18">
        <f>(AQ59-AP59)*AO59+AR59</f>
        <v>70500</v>
      </c>
      <c r="AS60" s="18">
        <f t="shared" si="119"/>
        <v>28075.5</v>
      </c>
      <c r="AT60" s="18">
        <f>(0)</f>
        <v>0</v>
      </c>
      <c r="AU60" s="18">
        <f t="shared" si="130"/>
        <v>28075.5</v>
      </c>
      <c r="AV60" s="18">
        <f>SUM(AU$58:$AU60)</f>
        <v>84226.5</v>
      </c>
      <c r="AW60" s="41">
        <f t="shared" si="120"/>
        <v>0.15</v>
      </c>
      <c r="AX60" s="30">
        <f t="shared" si="131"/>
        <v>0</v>
      </c>
      <c r="AY60" s="43">
        <f t="shared" si="121"/>
        <v>0.15</v>
      </c>
      <c r="AZ60" s="18">
        <f t="shared" ref="AZ60:AZ69" si="133">(ROUND(AU60*AY60,2))</f>
        <v>4211.33</v>
      </c>
      <c r="BA60" s="43">
        <f t="shared" si="132"/>
        <v>0.84491000000000005</v>
      </c>
      <c r="BB60" s="18">
        <f t="shared" si="122"/>
        <v>33030</v>
      </c>
      <c r="BC60" s="18">
        <f t="shared" si="123"/>
        <v>28075.5</v>
      </c>
      <c r="BD60" s="17">
        <v>58</v>
      </c>
      <c r="BE60" s="21">
        <v>29</v>
      </c>
      <c r="BF60" s="40" t="s">
        <v>0</v>
      </c>
    </row>
    <row r="61" spans="27:58" ht="39.950000000000003" hidden="1" customHeight="1" x14ac:dyDescent="0.25">
      <c r="AE61" s="18">
        <f t="shared" si="116"/>
        <v>33030</v>
      </c>
      <c r="AF61" s="18">
        <f t="shared" si="124"/>
        <v>33030</v>
      </c>
      <c r="AG61" s="18">
        <f t="shared" si="125"/>
        <v>0</v>
      </c>
      <c r="AH61" s="18">
        <f t="shared" si="117"/>
        <v>0</v>
      </c>
      <c r="AI61" s="18">
        <f t="shared" si="126"/>
        <v>250.69770000000003</v>
      </c>
      <c r="AJ61" s="18">
        <f t="shared" si="118"/>
        <v>33030</v>
      </c>
      <c r="AK61" s="18">
        <f>(0)</f>
        <v>0</v>
      </c>
      <c r="AL61" s="18">
        <f t="shared" si="127"/>
        <v>33030</v>
      </c>
      <c r="AM61" s="18">
        <f t="shared" si="128"/>
        <v>-4624.2000000000007</v>
      </c>
      <c r="AN61" s="18">
        <f t="shared" si="129"/>
        <v>-330.3</v>
      </c>
      <c r="AO61" s="42">
        <v>0.35</v>
      </c>
      <c r="AP61" s="18">
        <f>$AQ$60</f>
        <v>1500000</v>
      </c>
      <c r="AQ61" s="18">
        <v>5300000</v>
      </c>
      <c r="AR61" s="18">
        <f>(AQ60-AP60)*AO60+AR60</f>
        <v>367500</v>
      </c>
      <c r="AS61" s="18">
        <f t="shared" si="119"/>
        <v>28075.5</v>
      </c>
      <c r="AT61" s="18">
        <f>(0)</f>
        <v>0</v>
      </c>
      <c r="AU61" s="18">
        <f t="shared" si="130"/>
        <v>28075.5</v>
      </c>
      <c r="AV61" s="18">
        <f>SUM(AU$58:$AU61)</f>
        <v>112302</v>
      </c>
      <c r="AW61" s="41">
        <f t="shared" si="120"/>
        <v>0.15</v>
      </c>
      <c r="AX61" s="30">
        <f t="shared" si="131"/>
        <v>0</v>
      </c>
      <c r="AY61" s="43">
        <f t="shared" si="121"/>
        <v>0.15</v>
      </c>
      <c r="AZ61" s="18">
        <f t="shared" si="133"/>
        <v>4211.33</v>
      </c>
      <c r="BA61" s="43">
        <f t="shared" si="132"/>
        <v>0.84491000000000005</v>
      </c>
      <c r="BB61" s="18">
        <f t="shared" si="122"/>
        <v>33030</v>
      </c>
      <c r="BC61" s="18">
        <f t="shared" si="123"/>
        <v>28075.5</v>
      </c>
      <c r="BD61" s="17">
        <v>59</v>
      </c>
      <c r="BE61" s="21">
        <v>29.5</v>
      </c>
      <c r="BF61" s="40" t="s">
        <v>0</v>
      </c>
    </row>
    <row r="62" spans="27:58" ht="39.950000000000003" hidden="1" customHeight="1" x14ac:dyDescent="0.25">
      <c r="AE62" s="18">
        <f t="shared" si="116"/>
        <v>33030</v>
      </c>
      <c r="AF62" s="18">
        <f t="shared" si="124"/>
        <v>33030</v>
      </c>
      <c r="AG62" s="18">
        <f t="shared" si="125"/>
        <v>0</v>
      </c>
      <c r="AH62" s="18">
        <f t="shared" si="117"/>
        <v>0</v>
      </c>
      <c r="AI62" s="18">
        <f t="shared" si="126"/>
        <v>250.69770000000003</v>
      </c>
      <c r="AJ62" s="18">
        <f t="shared" si="118"/>
        <v>33030</v>
      </c>
      <c r="AK62" s="18">
        <f>(0)</f>
        <v>0</v>
      </c>
      <c r="AL62" s="18">
        <f t="shared" si="127"/>
        <v>33030</v>
      </c>
      <c r="AM62" s="18">
        <f t="shared" si="128"/>
        <v>-4624.2000000000007</v>
      </c>
      <c r="AN62" s="18">
        <f t="shared" si="129"/>
        <v>-330.3</v>
      </c>
      <c r="AO62" s="42">
        <v>0.4</v>
      </c>
      <c r="AP62" s="44">
        <f>$AQ$61</f>
        <v>5300000</v>
      </c>
      <c r="AQ62" s="18">
        <v>999999999</v>
      </c>
      <c r="AR62" s="18">
        <f>(AQ61-AP61)*AO61+AR61</f>
        <v>1697500</v>
      </c>
      <c r="AS62" s="18">
        <f t="shared" si="119"/>
        <v>28075.5</v>
      </c>
      <c r="AT62" s="18">
        <f>(0)</f>
        <v>0</v>
      </c>
      <c r="AU62" s="18">
        <f t="shared" si="130"/>
        <v>28075.5</v>
      </c>
      <c r="AV62" s="18">
        <f>SUM(AU$58:$AU62)</f>
        <v>140377.5</v>
      </c>
      <c r="AW62" s="41">
        <f t="shared" si="120"/>
        <v>0.15</v>
      </c>
      <c r="AX62" s="30">
        <f t="shared" si="131"/>
        <v>0</v>
      </c>
      <c r="AY62" s="43">
        <f t="shared" si="121"/>
        <v>0.15</v>
      </c>
      <c r="AZ62" s="18">
        <f t="shared" si="133"/>
        <v>4211.33</v>
      </c>
      <c r="BA62" s="43">
        <f t="shared" si="132"/>
        <v>0.84491000000000005</v>
      </c>
      <c r="BB62" s="18">
        <f t="shared" si="122"/>
        <v>33030</v>
      </c>
      <c r="BC62" s="18">
        <f t="shared" si="123"/>
        <v>28075.5</v>
      </c>
      <c r="BD62" s="17">
        <v>60</v>
      </c>
      <c r="BE62" s="21">
        <v>30</v>
      </c>
      <c r="BF62" s="40" t="s">
        <v>0</v>
      </c>
    </row>
    <row r="63" spans="27:58" ht="39.950000000000003" hidden="1" customHeight="1" x14ac:dyDescent="0.25">
      <c r="AE63" s="18">
        <f t="shared" si="116"/>
        <v>33030</v>
      </c>
      <c r="AF63" s="18">
        <f t="shared" si="124"/>
        <v>33030</v>
      </c>
      <c r="AG63" s="18">
        <f t="shared" si="125"/>
        <v>0</v>
      </c>
      <c r="AH63" s="18">
        <f t="shared" si="117"/>
        <v>0</v>
      </c>
      <c r="AI63" s="18">
        <f t="shared" si="126"/>
        <v>250.69770000000003</v>
      </c>
      <c r="AJ63" s="18">
        <f t="shared" si="118"/>
        <v>33030</v>
      </c>
      <c r="AK63" s="18">
        <f>(0)</f>
        <v>0</v>
      </c>
      <c r="AL63" s="18">
        <f t="shared" si="127"/>
        <v>33030</v>
      </c>
      <c r="AM63" s="18">
        <f t="shared" si="128"/>
        <v>-4624.2000000000007</v>
      </c>
      <c r="AN63" s="18">
        <f t="shared" si="129"/>
        <v>-330.3</v>
      </c>
      <c r="AS63" s="18">
        <f t="shared" si="119"/>
        <v>28075.5</v>
      </c>
      <c r="AT63" s="18">
        <f>(0)</f>
        <v>0</v>
      </c>
      <c r="AU63" s="18">
        <f t="shared" si="130"/>
        <v>28075.5</v>
      </c>
      <c r="AV63" s="18">
        <f>SUM(AU$58:$AU63)</f>
        <v>168453</v>
      </c>
      <c r="AW63" s="41">
        <f t="shared" si="120"/>
        <v>0.15</v>
      </c>
      <c r="AX63" s="30">
        <f t="shared" si="131"/>
        <v>0</v>
      </c>
      <c r="AY63" s="43">
        <f t="shared" si="121"/>
        <v>0.15</v>
      </c>
      <c r="AZ63" s="18">
        <f t="shared" si="133"/>
        <v>4211.33</v>
      </c>
      <c r="BA63" s="43">
        <f t="shared" si="132"/>
        <v>0.84491000000000005</v>
      </c>
      <c r="BB63" s="18">
        <f t="shared" si="122"/>
        <v>33030</v>
      </c>
      <c r="BC63" s="18">
        <f t="shared" si="123"/>
        <v>28075.5</v>
      </c>
      <c r="BD63" s="17">
        <v>61</v>
      </c>
      <c r="BE63" s="21">
        <v>30.5</v>
      </c>
      <c r="BF63" s="40" t="s">
        <v>0</v>
      </c>
    </row>
    <row r="64" spans="27:58" ht="39.950000000000003" hidden="1" customHeight="1" x14ac:dyDescent="0.25">
      <c r="AE64" s="18">
        <f t="shared" ref="AE64:AE69" si="134">($AD$8)</f>
        <v>33030</v>
      </c>
      <c r="AF64" s="18">
        <f t="shared" si="124"/>
        <v>33030</v>
      </c>
      <c r="AG64" s="18">
        <f t="shared" si="125"/>
        <v>0</v>
      </c>
      <c r="AH64" s="18">
        <f t="shared" si="117"/>
        <v>0</v>
      </c>
      <c r="AI64" s="18">
        <f t="shared" si="126"/>
        <v>250.69770000000003</v>
      </c>
      <c r="AJ64" s="18">
        <f t="shared" si="118"/>
        <v>33030</v>
      </c>
      <c r="AK64" s="18">
        <f>(0)</f>
        <v>0</v>
      </c>
      <c r="AL64" s="18">
        <f t="shared" si="127"/>
        <v>33030</v>
      </c>
      <c r="AM64" s="18">
        <f t="shared" si="128"/>
        <v>-4624.2000000000007</v>
      </c>
      <c r="AN64" s="18">
        <f t="shared" si="129"/>
        <v>-330.3</v>
      </c>
      <c r="AS64" s="18">
        <f t="shared" si="119"/>
        <v>28075.5</v>
      </c>
      <c r="AT64" s="18">
        <f>(0)</f>
        <v>0</v>
      </c>
      <c r="AU64" s="18">
        <f t="shared" si="130"/>
        <v>28075.5</v>
      </c>
      <c r="AV64" s="18">
        <f>SUM(AU$58:$AU64)</f>
        <v>196528.5</v>
      </c>
      <c r="AW64" s="41">
        <f t="shared" si="120"/>
        <v>0.2</v>
      </c>
      <c r="AX64" s="30">
        <f t="shared" si="131"/>
        <v>1</v>
      </c>
      <c r="AY64" s="43">
        <f t="shared" si="121"/>
        <v>0.16162668518815337</v>
      </c>
      <c r="AZ64" s="18">
        <f t="shared" si="133"/>
        <v>4537.75</v>
      </c>
      <c r="BA64" s="43">
        <f t="shared" si="132"/>
        <v>0.83502731759006965</v>
      </c>
      <c r="BB64" s="18">
        <f t="shared" si="122"/>
        <v>33030</v>
      </c>
      <c r="BC64" s="18">
        <f t="shared" si="123"/>
        <v>28075.5</v>
      </c>
      <c r="BD64" s="17">
        <v>62</v>
      </c>
      <c r="BE64" s="21">
        <v>31</v>
      </c>
      <c r="BF64" s="40" t="s">
        <v>0</v>
      </c>
    </row>
    <row r="65" spans="31:58" ht="39.950000000000003" hidden="1" customHeight="1" x14ac:dyDescent="0.25">
      <c r="AE65" s="18">
        <f t="shared" si="134"/>
        <v>33030</v>
      </c>
      <c r="AF65" s="18">
        <f t="shared" si="124"/>
        <v>33030</v>
      </c>
      <c r="AG65" s="18">
        <f t="shared" si="125"/>
        <v>0</v>
      </c>
      <c r="AH65" s="18">
        <f t="shared" si="117"/>
        <v>0</v>
      </c>
      <c r="AI65" s="18">
        <f t="shared" si="126"/>
        <v>250.69770000000003</v>
      </c>
      <c r="AJ65" s="18">
        <f t="shared" si="118"/>
        <v>33030</v>
      </c>
      <c r="AK65" s="18">
        <f>(0)</f>
        <v>0</v>
      </c>
      <c r="AL65" s="18">
        <f t="shared" si="127"/>
        <v>33030</v>
      </c>
      <c r="AM65" s="18">
        <f t="shared" si="128"/>
        <v>-4624.2000000000007</v>
      </c>
      <c r="AN65" s="18">
        <f t="shared" si="129"/>
        <v>-330.3</v>
      </c>
      <c r="AS65" s="18">
        <f t="shared" si="119"/>
        <v>28075.5</v>
      </c>
      <c r="AT65" s="18">
        <f>(0)</f>
        <v>0</v>
      </c>
      <c r="AU65" s="18">
        <f t="shared" si="130"/>
        <v>28075.5</v>
      </c>
      <c r="AV65" s="18">
        <f>SUM(AU$58:$AU65)</f>
        <v>224604</v>
      </c>
      <c r="AW65" s="41">
        <f t="shared" si="120"/>
        <v>0.2</v>
      </c>
      <c r="AX65" s="30">
        <f t="shared" si="131"/>
        <v>0</v>
      </c>
      <c r="AY65" s="43">
        <f t="shared" si="121"/>
        <v>0.2</v>
      </c>
      <c r="AZ65" s="18">
        <f t="shared" si="133"/>
        <v>5615.1</v>
      </c>
      <c r="BA65" s="43">
        <f t="shared" si="132"/>
        <v>0.80240999999999996</v>
      </c>
      <c r="BB65" s="18">
        <f t="shared" si="122"/>
        <v>33030</v>
      </c>
      <c r="BC65" s="18">
        <f t="shared" si="123"/>
        <v>28075.5</v>
      </c>
      <c r="BD65" s="17">
        <v>63</v>
      </c>
      <c r="BE65" s="21">
        <v>31.5</v>
      </c>
      <c r="BF65" s="40" t="s">
        <v>0</v>
      </c>
    </row>
    <row r="66" spans="31:58" ht="39.950000000000003" hidden="1" customHeight="1" x14ac:dyDescent="0.25">
      <c r="AE66" s="18">
        <f t="shared" si="134"/>
        <v>33030</v>
      </c>
      <c r="AF66" s="18">
        <f t="shared" si="124"/>
        <v>33030</v>
      </c>
      <c r="AG66" s="18">
        <f t="shared" si="125"/>
        <v>0</v>
      </c>
      <c r="AH66" s="18">
        <f t="shared" si="117"/>
        <v>0</v>
      </c>
      <c r="AI66" s="18">
        <f t="shared" si="126"/>
        <v>250.69770000000003</v>
      </c>
      <c r="AJ66" s="18">
        <f t="shared" si="118"/>
        <v>33030</v>
      </c>
      <c r="AK66" s="18">
        <f>(0)</f>
        <v>0</v>
      </c>
      <c r="AL66" s="18">
        <f t="shared" si="127"/>
        <v>33030</v>
      </c>
      <c r="AM66" s="18">
        <f t="shared" si="128"/>
        <v>-4624.2000000000007</v>
      </c>
      <c r="AN66" s="18">
        <f t="shared" si="129"/>
        <v>-330.3</v>
      </c>
      <c r="AS66" s="18">
        <f t="shared" si="119"/>
        <v>28075.5</v>
      </c>
      <c r="AT66" s="18">
        <f>(0)</f>
        <v>0</v>
      </c>
      <c r="AU66" s="18">
        <f t="shared" si="130"/>
        <v>28075.5</v>
      </c>
      <c r="AV66" s="18">
        <f>SUM(AU$58:$AU66)</f>
        <v>252679.5</v>
      </c>
      <c r="AW66" s="41">
        <f t="shared" si="120"/>
        <v>0.2</v>
      </c>
      <c r="AX66" s="30">
        <f t="shared" si="131"/>
        <v>0</v>
      </c>
      <c r="AY66" s="43">
        <f t="shared" si="121"/>
        <v>0.2</v>
      </c>
      <c r="AZ66" s="18">
        <f t="shared" si="133"/>
        <v>5615.1</v>
      </c>
      <c r="BA66" s="43">
        <f t="shared" si="132"/>
        <v>0.80240999999999996</v>
      </c>
      <c r="BB66" s="18">
        <f t="shared" si="122"/>
        <v>33030</v>
      </c>
      <c r="BC66" s="18">
        <f t="shared" si="123"/>
        <v>28075.5</v>
      </c>
      <c r="BD66" s="17">
        <v>64</v>
      </c>
      <c r="BE66" s="21">
        <v>32</v>
      </c>
      <c r="BF66" s="40" t="s">
        <v>0</v>
      </c>
    </row>
    <row r="67" spans="31:58" ht="39.950000000000003" hidden="1" customHeight="1" x14ac:dyDescent="0.25">
      <c r="AE67" s="18">
        <f t="shared" si="134"/>
        <v>33030</v>
      </c>
      <c r="AF67" s="18">
        <f t="shared" si="124"/>
        <v>33030</v>
      </c>
      <c r="AG67" s="18">
        <f t="shared" si="125"/>
        <v>0</v>
      </c>
      <c r="AH67" s="18">
        <f t="shared" si="117"/>
        <v>0</v>
      </c>
      <c r="AI67" s="18">
        <f t="shared" si="126"/>
        <v>250.69770000000003</v>
      </c>
      <c r="AJ67" s="18">
        <f t="shared" si="118"/>
        <v>33030</v>
      </c>
      <c r="AK67" s="18">
        <f>(0)</f>
        <v>0</v>
      </c>
      <c r="AL67" s="18">
        <f t="shared" si="127"/>
        <v>33030</v>
      </c>
      <c r="AM67" s="18">
        <f t="shared" si="128"/>
        <v>-4624.2000000000007</v>
      </c>
      <c r="AN67" s="18">
        <f t="shared" si="129"/>
        <v>-330.3</v>
      </c>
      <c r="AS67" s="18">
        <f t="shared" si="119"/>
        <v>28075.5</v>
      </c>
      <c r="AT67" s="18">
        <f>(0)</f>
        <v>0</v>
      </c>
      <c r="AU67" s="18">
        <f t="shared" si="130"/>
        <v>28075.5</v>
      </c>
      <c r="AV67" s="18">
        <f>SUM(AU$58:$AU67)</f>
        <v>280755</v>
      </c>
      <c r="AW67" s="41">
        <f t="shared" si="120"/>
        <v>0.2</v>
      </c>
      <c r="AX67" s="30">
        <f t="shared" si="131"/>
        <v>0</v>
      </c>
      <c r="AY67" s="43">
        <f t="shared" si="121"/>
        <v>0.2</v>
      </c>
      <c r="AZ67" s="18">
        <f t="shared" si="133"/>
        <v>5615.1</v>
      </c>
      <c r="BA67" s="43">
        <f t="shared" si="132"/>
        <v>0.80240999999999996</v>
      </c>
      <c r="BB67" s="18">
        <f t="shared" si="122"/>
        <v>33030</v>
      </c>
      <c r="BC67" s="18">
        <f t="shared" si="123"/>
        <v>28075.5</v>
      </c>
      <c r="BD67" s="17">
        <v>65</v>
      </c>
      <c r="BE67" s="21">
        <v>32.5</v>
      </c>
      <c r="BF67" s="40" t="s">
        <v>0</v>
      </c>
    </row>
    <row r="68" spans="31:58" ht="39.950000000000003" hidden="1" customHeight="1" x14ac:dyDescent="0.25">
      <c r="AE68" s="18">
        <f t="shared" si="134"/>
        <v>33030</v>
      </c>
      <c r="AF68" s="18">
        <f t="shared" si="124"/>
        <v>33030</v>
      </c>
      <c r="AG68" s="18">
        <f t="shared" si="125"/>
        <v>0</v>
      </c>
      <c r="AH68" s="18">
        <f t="shared" si="117"/>
        <v>0</v>
      </c>
      <c r="AI68" s="18">
        <f t="shared" si="126"/>
        <v>250.69770000000003</v>
      </c>
      <c r="AJ68" s="18">
        <f t="shared" si="118"/>
        <v>33030</v>
      </c>
      <c r="AK68" s="18">
        <f>(0)</f>
        <v>0</v>
      </c>
      <c r="AL68" s="18">
        <f t="shared" si="127"/>
        <v>33030</v>
      </c>
      <c r="AM68" s="18">
        <f t="shared" si="128"/>
        <v>-4624.2000000000007</v>
      </c>
      <c r="AN68" s="18">
        <f t="shared" si="129"/>
        <v>-330.3</v>
      </c>
      <c r="AS68" s="18">
        <f t="shared" si="119"/>
        <v>28075.5</v>
      </c>
      <c r="AT68" s="18">
        <f>(0)</f>
        <v>0</v>
      </c>
      <c r="AU68" s="18">
        <f t="shared" si="130"/>
        <v>28075.5</v>
      </c>
      <c r="AV68" s="18">
        <f>SUM(AU$58:$AU68)</f>
        <v>308830.5</v>
      </c>
      <c r="AW68" s="41">
        <f t="shared" si="120"/>
        <v>0.2</v>
      </c>
      <c r="AX68" s="30">
        <f t="shared" si="131"/>
        <v>0</v>
      </c>
      <c r="AY68" s="43">
        <f t="shared" si="121"/>
        <v>0.2</v>
      </c>
      <c r="AZ68" s="18">
        <f t="shared" si="133"/>
        <v>5615.1</v>
      </c>
      <c r="BA68" s="43">
        <f t="shared" si="132"/>
        <v>0.80240999999999996</v>
      </c>
      <c r="BB68" s="18">
        <f t="shared" si="122"/>
        <v>33030</v>
      </c>
      <c r="BC68" s="18">
        <f t="shared" si="123"/>
        <v>28075.5</v>
      </c>
      <c r="BD68" s="17">
        <v>66</v>
      </c>
      <c r="BE68" s="21">
        <v>33</v>
      </c>
      <c r="BF68" s="40" t="s">
        <v>0</v>
      </c>
    </row>
    <row r="69" spans="31:58" ht="39.950000000000003" hidden="1" customHeight="1" x14ac:dyDescent="0.25">
      <c r="AE69" s="18">
        <f t="shared" si="134"/>
        <v>33030</v>
      </c>
      <c r="AF69" s="18">
        <f t="shared" si="124"/>
        <v>33030</v>
      </c>
      <c r="AG69" s="18">
        <f t="shared" si="125"/>
        <v>0</v>
      </c>
      <c r="AH69" s="18">
        <f t="shared" si="117"/>
        <v>0</v>
      </c>
      <c r="AI69" s="18">
        <f t="shared" si="126"/>
        <v>250.69770000000003</v>
      </c>
      <c r="AJ69" s="18">
        <f t="shared" si="118"/>
        <v>33030</v>
      </c>
      <c r="AK69" s="18">
        <f>(0)</f>
        <v>0</v>
      </c>
      <c r="AL69" s="18">
        <f t="shared" si="127"/>
        <v>33030</v>
      </c>
      <c r="AM69" s="18">
        <f t="shared" si="128"/>
        <v>-4624.2000000000007</v>
      </c>
      <c r="AN69" s="18">
        <f t="shared" si="129"/>
        <v>-330.3</v>
      </c>
      <c r="AS69" s="18">
        <f t="shared" si="119"/>
        <v>28075.5</v>
      </c>
      <c r="AT69" s="18">
        <f>(0)</f>
        <v>0</v>
      </c>
      <c r="AU69" s="18">
        <f t="shared" si="130"/>
        <v>28075.5</v>
      </c>
      <c r="AV69" s="18">
        <f>SUM(AU$58:$AU69)</f>
        <v>336906</v>
      </c>
      <c r="AW69" s="41">
        <f t="shared" si="120"/>
        <v>0.2</v>
      </c>
      <c r="AX69" s="30">
        <f t="shared" si="131"/>
        <v>0</v>
      </c>
      <c r="AY69" s="43">
        <f t="shared" si="121"/>
        <v>0.2</v>
      </c>
      <c r="AZ69" s="18">
        <f t="shared" si="133"/>
        <v>5615.1</v>
      </c>
      <c r="BA69" s="43">
        <f t="shared" si="132"/>
        <v>0.80240999999999996</v>
      </c>
      <c r="BB69" s="18">
        <f t="shared" si="122"/>
        <v>33030</v>
      </c>
      <c r="BC69" s="18">
        <f t="shared" si="123"/>
        <v>28075.5</v>
      </c>
      <c r="BD69" s="17">
        <v>67</v>
      </c>
      <c r="BE69" s="21">
        <v>33.5</v>
      </c>
      <c r="BF69" s="40" t="s">
        <v>0</v>
      </c>
    </row>
    <row r="70" spans="31:58" ht="39.950000000000003" hidden="1" customHeight="1" x14ac:dyDescent="0.25">
      <c r="AE70" s="18">
        <f t="shared" ref="AE70" si="135">(AE58+AE59+AE60+AE61+AE62+AE63+AE64+AE65+AE66+AE67+AE68+AE69)</f>
        <v>396360</v>
      </c>
      <c r="AF70" s="18">
        <f t="shared" ref="AF70" si="136">(AF58+AF59+AF60+AF61+AF62+AF63+AF64+AF65+AF66+AF67+AF68+AF69)</f>
        <v>396360</v>
      </c>
      <c r="AG70" s="18">
        <f t="shared" ref="AG70:AI70" si="137">(AG58+AG59+AG60+AG61+AG62+AG63+AG64+AG65+AG66+AG67+AG68+AG69)</f>
        <v>0</v>
      </c>
      <c r="AH70" s="18">
        <f>(AH58+AH59+AH60+AH61+AH62+AH63+AH64+AH65+AH66+AH67+AH68+AH69)</f>
        <v>0</v>
      </c>
      <c r="AI70" s="18">
        <f t="shared" si="137"/>
        <v>3008.3724000000007</v>
      </c>
      <c r="AJ70" s="18">
        <f t="shared" ref="AJ70" si="138">(AJ58+AJ59+AJ60+AJ61+AJ62+AJ63+AJ64+AJ65+AJ66+AJ67+AJ68+AJ69)</f>
        <v>396360</v>
      </c>
      <c r="AK70" s="18">
        <f t="shared" ref="AK70" si="139">(AK58+AK59+AK60+AK61+AK62+AK63+AK64+AK65+AK66+AK67+AK68+AK69)</f>
        <v>0</v>
      </c>
      <c r="AL70" s="18">
        <f t="shared" ref="AL70" si="140">(AL58+AL59+AL60+AL61+AL62+AL63+AL64+AL65+AL66+AL67+AL68+AL69)</f>
        <v>396360</v>
      </c>
      <c r="AM70" s="18">
        <f t="shared" ref="AM70" si="141">(AM58+AM59+AM60+AM61+AM62+AM63+AM64+AM65+AM66+AM67+AM68+AM69)</f>
        <v>-55490.399999999994</v>
      </c>
      <c r="AN70" s="18">
        <f t="shared" ref="AN70" si="142">(AN58+AN59+AN60+AN61+AN62+AN63+AN64+AN65+AN66+AN67+AN68+AN69)</f>
        <v>-3963.6000000000008</v>
      </c>
      <c r="AS70" s="18">
        <f t="shared" ref="AS70" si="143">(AS58+AS59+AS60+AS61+AS62+AS63+AS64+AS65+AS66+AS67+AS68+AS69)</f>
        <v>336906</v>
      </c>
      <c r="AT70" s="18">
        <f t="shared" ref="AT70" si="144">(AT58+AT59+AT60+AT61+AT62+AT63+AT64+AT65+AT66+AT67+AT68+AT69)</f>
        <v>0</v>
      </c>
      <c r="AU70" s="18">
        <f t="shared" ref="AU70" si="145">(AU58+AU59+AU60+AU61+AU62+AU63+AU64+AU65+AU66+AU67+AU68+AU69)</f>
        <v>336906</v>
      </c>
      <c r="AV70" s="23" t="s">
        <v>0</v>
      </c>
      <c r="AW70" s="17" t="s">
        <v>0</v>
      </c>
      <c r="AX70" s="17" t="s">
        <v>0</v>
      </c>
      <c r="AY70" s="17" t="s">
        <v>0</v>
      </c>
      <c r="AZ70" s="18">
        <f t="shared" ref="AZ70" si="146">(AZ58+AZ59+AZ60+AZ61+AZ62+AZ63+AZ64+AZ65+AZ66+AZ67+AZ68+AZ69)</f>
        <v>57881.229999999996</v>
      </c>
      <c r="BA70" s="17" t="s">
        <v>0</v>
      </c>
      <c r="BB70" s="18">
        <f t="shared" ref="BB70" si="147">(BB58+BB59+BB60+BB61+BB62+BB63+BB64+BB65+BB66+BB67+BB68+BB69)</f>
        <v>396360</v>
      </c>
      <c r="BC70" s="18">
        <f t="shared" ref="BC70" si="148">(BC58+BC59+BC60+BC61+BC62+BC63+BC64+BC65+BC66+BC67+BC68+BC69)</f>
        <v>336906</v>
      </c>
      <c r="BD70" s="17">
        <v>68</v>
      </c>
      <c r="BE70" s="21">
        <v>34</v>
      </c>
      <c r="BF70" s="40" t="s">
        <v>0</v>
      </c>
    </row>
    <row r="71" spans="31:58" ht="39.950000000000003" hidden="1" customHeight="1" x14ac:dyDescent="0.25">
      <c r="AE71" s="18">
        <f t="shared" ref="AE71" si="149">(AE70/12)</f>
        <v>33030</v>
      </c>
      <c r="AF71" s="18">
        <f t="shared" ref="AF71" si="150">(AF70/12)</f>
        <v>33030</v>
      </c>
      <c r="AG71" s="18">
        <f t="shared" ref="AG71:AI71" si="151">(AG70/12)</f>
        <v>0</v>
      </c>
      <c r="AH71" s="18">
        <f>(AH70/12)</f>
        <v>0</v>
      </c>
      <c r="AI71" s="18">
        <f t="shared" si="151"/>
        <v>250.69770000000005</v>
      </c>
      <c r="AJ71" s="18">
        <f t="shared" ref="AJ71" si="152">(AJ70/12)</f>
        <v>33030</v>
      </c>
      <c r="AK71" s="18">
        <f t="shared" ref="AK71" si="153">(AK70/12)</f>
        <v>0</v>
      </c>
      <c r="AL71" s="18">
        <f t="shared" ref="AL71" si="154">(AL70/12)</f>
        <v>33030</v>
      </c>
      <c r="AM71" s="18">
        <f t="shared" ref="AM71" si="155">(AM70/12)</f>
        <v>-4624.2</v>
      </c>
      <c r="AN71" s="18">
        <f t="shared" ref="AN71" si="156">(AN70/12)</f>
        <v>-330.30000000000007</v>
      </c>
      <c r="AS71" s="18">
        <f t="shared" ref="AS71" si="157">(AS70/12)</f>
        <v>28075.5</v>
      </c>
      <c r="AT71" s="18">
        <f t="shared" ref="AT71" si="158">(AT70/12)</f>
        <v>0</v>
      </c>
      <c r="AU71" s="18">
        <f t="shared" ref="AU71" si="159">(AU70/12)</f>
        <v>28075.5</v>
      </c>
      <c r="AV71" s="23" t="s">
        <v>0</v>
      </c>
      <c r="AW71" s="23" t="s">
        <v>0</v>
      </c>
      <c r="AX71" s="23" t="s">
        <v>0</v>
      </c>
      <c r="AY71" s="23" t="s">
        <v>0</v>
      </c>
      <c r="AZ71" s="18">
        <f t="shared" ref="AZ71" si="160">(AZ70/12)</f>
        <v>4823.435833333333</v>
      </c>
      <c r="BA71" s="23" t="s">
        <v>0</v>
      </c>
      <c r="BB71" s="18">
        <f t="shared" ref="BB71" si="161">(BB70/12)</f>
        <v>33030</v>
      </c>
      <c r="BC71" s="18">
        <f t="shared" ref="BC71" si="162">(BC70/12)</f>
        <v>28075.5</v>
      </c>
      <c r="BD71" s="17">
        <v>69</v>
      </c>
      <c r="BE71" s="21">
        <v>34.5</v>
      </c>
      <c r="BF71" s="40" t="s">
        <v>0</v>
      </c>
    </row>
    <row r="72" spans="31:58" ht="39.950000000000003" hidden="1" customHeight="1" x14ac:dyDescent="0.25">
      <c r="AQ72" s="18">
        <f>(0)</f>
        <v>0</v>
      </c>
      <c r="AR72" s="41">
        <f>(0%)</f>
        <v>0</v>
      </c>
      <c r="BD72" s="17">
        <v>70</v>
      </c>
      <c r="BE72" s="21">
        <v>35</v>
      </c>
      <c r="BF72" s="40" t="s">
        <v>0</v>
      </c>
    </row>
    <row r="73" spans="31:58" ht="39.950000000000003" hidden="1" customHeight="1" x14ac:dyDescent="0.25">
      <c r="AE73" s="18">
        <f t="shared" ref="AE73:AE84" ca="1" si="163">(AJ15+AM15+AO15+AQ15+AS15+AG29+AI29+AJ29+AN29+G15+AH43)</f>
        <v>68063.950483417488</v>
      </c>
      <c r="AF73" s="18">
        <f t="shared" ref="AF73:AF84" si="164">(AF58+AG1)</f>
        <v>39030</v>
      </c>
      <c r="AG73" s="18">
        <f ca="1">(AE73-AF73)</f>
        <v>29033.950483417488</v>
      </c>
      <c r="AH73" s="18">
        <f t="shared" ref="AH73:AH84" ca="1" si="165">(AG73*0.00759*-1)</f>
        <v>-220.36768416913876</v>
      </c>
      <c r="AI73" s="18">
        <f ca="1">(AE73)</f>
        <v>68063.950483417488</v>
      </c>
      <c r="AJ73" s="18">
        <f t="shared" ref="AJ73:AJ84" si="166">(AK1+AI43)</f>
        <v>6000</v>
      </c>
      <c r="AK73" s="18">
        <f t="shared" ref="AK73:AK84" ca="1" si="167">IF(AI73-AJ73&gt;=AE58*7.5,AE58*7.5,AI73-AJ73)</f>
        <v>62063.950483417488</v>
      </c>
      <c r="AL73" s="18">
        <f ca="1">(AK73*0.14*-1)</f>
        <v>-8688.9530676784489</v>
      </c>
      <c r="AM73" s="18">
        <f ca="1">(AK73*0.01*-1)</f>
        <v>-620.63950483417489</v>
      </c>
      <c r="AN73" s="18">
        <f t="shared" ref="AN73:AN84" ca="1" si="168">(AE73+AL73+AM73)</f>
        <v>58754.357910904866</v>
      </c>
      <c r="AO73" s="18">
        <f t="shared" ref="AO73:AO84" si="169">(AP1+AI43+AM43+AR29)</f>
        <v>6000</v>
      </c>
      <c r="AP73" s="18">
        <f ca="1">(AN73-AO73)</f>
        <v>52754.357910904866</v>
      </c>
      <c r="AQ73" s="18">
        <f ca="1">SUM($AP$73:AP73)</f>
        <v>52754.357910904866</v>
      </c>
      <c r="AR73" s="41">
        <f t="shared" ref="AR73:AR84" ca="1" si="170">IF(AQ73&lt;=$AQ$58,$AO$58,
IF(AQ73&gt;$AQ$60,
IF(AQ73&gt;$AQ$61,$AO$62,$AO$61),
IF(AQ73&lt;$AQ$59,$AO$59,$AO$60)))</f>
        <v>0.15</v>
      </c>
      <c r="AS73" s="30">
        <f ca="1">IF(AR73-AR72=0,0,1)</f>
        <v>1</v>
      </c>
      <c r="AT73" s="43">
        <f t="shared" ref="AT73:AT84" ca="1" si="171">(IF(AS73=0,AR73,(VLOOKUP($AR73,$AO$58:$AR$62,2,0)-AQ72)/AP73*AR72+(AQ73-VLOOKUP($AR73,$AO$58:$AR$62,2,0))/AP73*AR73))</f>
        <v>0.15</v>
      </c>
      <c r="AU73" s="18">
        <f ca="1">(ROUND(AP73*AT73,2)*(-1)+VLOOKUP(AR73,$AO$58:$AR$62,4,0)*(-1))</f>
        <v>-7913.15</v>
      </c>
      <c r="AV73" s="18">
        <f t="shared" ref="AV73:AV84" ca="1" si="172">(AU73+AZ58)</f>
        <v>-3701.8199999999997</v>
      </c>
      <c r="AW73" s="43">
        <f t="shared" ref="AW73:AW84" ca="1" si="173">(100+(100*0.00759*-1)+(100)*AT73*-1)/100</f>
        <v>0.84240999999999999</v>
      </c>
      <c r="AX73" s="43">
        <f>(100+(100*0.00759*-1)+(100*0.14*-1)+(100*0.01*-1))/100</f>
        <v>0.84240999999999999</v>
      </c>
      <c r="AY73" s="43">
        <f t="shared" ref="AY73:AY84" ca="1" si="174">(100+(100*0.00759*-1)+(100*0.14*-1)+(100*0.01*-1)+(100+100*0.14*-1+100*0.01*-1)*AT73*-1)/100</f>
        <v>0.71491000000000005</v>
      </c>
      <c r="BD73" s="17">
        <v>71</v>
      </c>
      <c r="BE73" s="21">
        <v>35.5</v>
      </c>
      <c r="BF73" s="40" t="s">
        <v>0</v>
      </c>
    </row>
    <row r="74" spans="31:58" ht="39.950000000000003" hidden="1" customHeight="1" x14ac:dyDescent="0.25">
      <c r="AE74" s="18">
        <f t="shared" ca="1" si="163"/>
        <v>68448.614287252931</v>
      </c>
      <c r="AF74" s="18">
        <f t="shared" si="164"/>
        <v>39030</v>
      </c>
      <c r="AG74" s="18">
        <f t="shared" ref="AG74:AG84" ca="1" si="175">(AE74-AF74)</f>
        <v>29418.614287252931</v>
      </c>
      <c r="AH74" s="18">
        <f t="shared" ca="1" si="165"/>
        <v>-223.28728244024975</v>
      </c>
      <c r="AI74" s="18">
        <f t="shared" ref="AI74:AI84" ca="1" si="176">(AE74)</f>
        <v>68448.614287252931</v>
      </c>
      <c r="AJ74" s="18">
        <f t="shared" si="166"/>
        <v>6000</v>
      </c>
      <c r="AK74" s="18">
        <f t="shared" ca="1" si="167"/>
        <v>62448.614287252931</v>
      </c>
      <c r="AL74" s="18">
        <f t="shared" ref="AL74:AL84" ca="1" si="177">(AK74*0.14*-1)</f>
        <v>-8742.8060002154107</v>
      </c>
      <c r="AM74" s="18">
        <f t="shared" ref="AM74:AM84" ca="1" si="178">(AK74*0.01*-1)</f>
        <v>-624.48614287252929</v>
      </c>
      <c r="AN74" s="18">
        <f t="shared" ca="1" si="168"/>
        <v>59081.322144164995</v>
      </c>
      <c r="AO74" s="18">
        <f t="shared" si="169"/>
        <v>6000</v>
      </c>
      <c r="AP74" s="18">
        <f t="shared" ref="AP74:AP84" ca="1" si="179">(AN74-AO74)</f>
        <v>53081.322144164995</v>
      </c>
      <c r="AQ74" s="18">
        <f ca="1">SUM($AP$73:AP74)</f>
        <v>105835.68005506985</v>
      </c>
      <c r="AR74" s="41">
        <f t="shared" ca="1" si="170"/>
        <v>0.15</v>
      </c>
      <c r="AS74" s="30">
        <f t="shared" ref="AS74:AS84" ca="1" si="180">IF(AR74-AR73=0,0,1)</f>
        <v>0</v>
      </c>
      <c r="AT74" s="43">
        <f t="shared" ca="1" si="171"/>
        <v>0.15</v>
      </c>
      <c r="AU74" s="18">
        <f ca="1">(ROUND(AP74*AT74,2)*(-1))</f>
        <v>-7962.2</v>
      </c>
      <c r="AV74" s="18">
        <f t="shared" ca="1" si="172"/>
        <v>-3750.87</v>
      </c>
      <c r="AW74" s="43">
        <f t="shared" ca="1" si="173"/>
        <v>0.84240999999999999</v>
      </c>
      <c r="AX74" s="43">
        <f t="shared" ref="AX74:AX84" si="181">(100+(100*0.00759*-1)+(100*0.14*-1)+(100*0.01*-1))/100</f>
        <v>0.84240999999999999</v>
      </c>
      <c r="AY74" s="43">
        <f t="shared" ca="1" si="174"/>
        <v>0.71491000000000005</v>
      </c>
      <c r="BD74" s="17">
        <v>72</v>
      </c>
      <c r="BE74" s="21">
        <v>36</v>
      </c>
      <c r="BF74" s="40" t="s">
        <v>0</v>
      </c>
    </row>
    <row r="75" spans="31:58" ht="39.950000000000003" hidden="1" customHeight="1" x14ac:dyDescent="0.25">
      <c r="AE75" s="18">
        <f t="shared" ca="1" si="163"/>
        <v>121362.46556674574</v>
      </c>
      <c r="AF75" s="18">
        <f t="shared" si="164"/>
        <v>39030</v>
      </c>
      <c r="AG75" s="18">
        <f t="shared" ca="1" si="175"/>
        <v>82332.465566745741</v>
      </c>
      <c r="AH75" s="18">
        <f t="shared" ca="1" si="165"/>
        <v>-624.9034136516002</v>
      </c>
      <c r="AI75" s="18">
        <f t="shared" ca="1" si="176"/>
        <v>121362.46556674574</v>
      </c>
      <c r="AJ75" s="18">
        <f t="shared" si="166"/>
        <v>6000</v>
      </c>
      <c r="AK75" s="18">
        <f t="shared" ca="1" si="167"/>
        <v>115362.46556674574</v>
      </c>
      <c r="AL75" s="18">
        <f t="shared" ca="1" si="177"/>
        <v>-16150.745179344405</v>
      </c>
      <c r="AM75" s="18">
        <f t="shared" ca="1" si="178"/>
        <v>-1153.6246556674575</v>
      </c>
      <c r="AN75" s="18">
        <f t="shared" ca="1" si="168"/>
        <v>104058.09573173388</v>
      </c>
      <c r="AO75" s="18">
        <f t="shared" si="169"/>
        <v>6000</v>
      </c>
      <c r="AP75" s="18">
        <f t="shared" ca="1" si="179"/>
        <v>98058.095731733876</v>
      </c>
      <c r="AQ75" s="18">
        <f ca="1">SUM($AP$73:AP75)</f>
        <v>203893.77578680374</v>
      </c>
      <c r="AR75" s="41">
        <f t="shared" ca="1" si="170"/>
        <v>0.2</v>
      </c>
      <c r="AS75" s="30">
        <f t="shared" ca="1" si="180"/>
        <v>1</v>
      </c>
      <c r="AT75" s="43">
        <f t="shared" ca="1" si="171"/>
        <v>0.15708446135075588</v>
      </c>
      <c r="AU75" s="18">
        <f t="shared" ref="AU75:AU84" ca="1" si="182">(ROUND(AP75*AT75,2)*(-1))</f>
        <v>-15403.4</v>
      </c>
      <c r="AV75" s="18">
        <f t="shared" ca="1" si="172"/>
        <v>-11192.07</v>
      </c>
      <c r="AW75" s="43">
        <f t="shared" ca="1" si="173"/>
        <v>0.83532553864924408</v>
      </c>
      <c r="AX75" s="43">
        <f t="shared" si="181"/>
        <v>0.84240999999999999</v>
      </c>
      <c r="AY75" s="43">
        <f t="shared" ca="1" si="174"/>
        <v>0.70888820785185747</v>
      </c>
      <c r="BD75" s="17">
        <v>73</v>
      </c>
      <c r="BE75" s="21">
        <v>36.5</v>
      </c>
      <c r="BF75" s="40" t="s">
        <v>0</v>
      </c>
    </row>
    <row r="76" spans="31:58" ht="39.950000000000003" hidden="1" customHeight="1" x14ac:dyDescent="0.25">
      <c r="AE76" s="18">
        <f t="shared" ca="1" si="163"/>
        <v>69124.855616513727</v>
      </c>
      <c r="AF76" s="18">
        <f t="shared" si="164"/>
        <v>39030</v>
      </c>
      <c r="AG76" s="18">
        <f t="shared" ca="1" si="175"/>
        <v>30094.855616513727</v>
      </c>
      <c r="AH76" s="18">
        <f t="shared" ca="1" si="165"/>
        <v>-228.4199541293392</v>
      </c>
      <c r="AI76" s="18">
        <f t="shared" ca="1" si="176"/>
        <v>69124.855616513727</v>
      </c>
      <c r="AJ76" s="18">
        <f t="shared" si="166"/>
        <v>6000</v>
      </c>
      <c r="AK76" s="18">
        <f t="shared" ca="1" si="167"/>
        <v>63124.855616513727</v>
      </c>
      <c r="AL76" s="18">
        <f t="shared" ca="1" si="177"/>
        <v>-8837.479786311922</v>
      </c>
      <c r="AM76" s="18">
        <f t="shared" ca="1" si="178"/>
        <v>-631.2485561651373</v>
      </c>
      <c r="AN76" s="18">
        <f t="shared" ca="1" si="168"/>
        <v>59656.127274036669</v>
      </c>
      <c r="AO76" s="18">
        <f t="shared" si="169"/>
        <v>6000</v>
      </c>
      <c r="AP76" s="18">
        <f t="shared" ca="1" si="179"/>
        <v>53656.127274036669</v>
      </c>
      <c r="AQ76" s="18">
        <f ca="1">SUM($AP$73:AP76)</f>
        <v>257549.90306084041</v>
      </c>
      <c r="AR76" s="41">
        <f t="shared" ca="1" si="170"/>
        <v>0.2</v>
      </c>
      <c r="AS76" s="30">
        <f t="shared" ca="1" si="180"/>
        <v>0</v>
      </c>
      <c r="AT76" s="43">
        <f t="shared" ca="1" si="171"/>
        <v>0.2</v>
      </c>
      <c r="AU76" s="18">
        <f t="shared" ca="1" si="182"/>
        <v>-10731.23</v>
      </c>
      <c r="AV76" s="18">
        <f t="shared" ca="1" si="172"/>
        <v>-6519.9</v>
      </c>
      <c r="AW76" s="43">
        <f t="shared" ca="1" si="173"/>
        <v>0.79240999999999995</v>
      </c>
      <c r="AX76" s="43">
        <f t="shared" si="181"/>
        <v>0.84240999999999999</v>
      </c>
      <c r="AY76" s="43">
        <f t="shared" ca="1" si="174"/>
        <v>0.67240999999999995</v>
      </c>
      <c r="BD76" s="17">
        <v>74</v>
      </c>
      <c r="BE76" s="21">
        <v>37</v>
      </c>
      <c r="BF76" s="40" t="s">
        <v>0</v>
      </c>
    </row>
    <row r="77" spans="31:58" ht="39.950000000000003" hidden="1" customHeight="1" x14ac:dyDescent="0.25">
      <c r="AE77" s="18">
        <f t="shared" ca="1" si="163"/>
        <v>69124.855616513727</v>
      </c>
      <c r="AF77" s="18">
        <f t="shared" si="164"/>
        <v>39030</v>
      </c>
      <c r="AG77" s="18">
        <f t="shared" ca="1" si="175"/>
        <v>30094.855616513727</v>
      </c>
      <c r="AH77" s="18">
        <f t="shared" ca="1" si="165"/>
        <v>-228.4199541293392</v>
      </c>
      <c r="AI77" s="18">
        <f t="shared" ca="1" si="176"/>
        <v>69124.855616513727</v>
      </c>
      <c r="AJ77" s="18">
        <f t="shared" si="166"/>
        <v>6000</v>
      </c>
      <c r="AK77" s="18">
        <f t="shared" ca="1" si="167"/>
        <v>63124.855616513727</v>
      </c>
      <c r="AL77" s="18">
        <f t="shared" ca="1" si="177"/>
        <v>-8837.479786311922</v>
      </c>
      <c r="AM77" s="18">
        <f t="shared" ca="1" si="178"/>
        <v>-631.2485561651373</v>
      </c>
      <c r="AN77" s="18">
        <f t="shared" ca="1" si="168"/>
        <v>59656.127274036669</v>
      </c>
      <c r="AO77" s="18">
        <f t="shared" si="169"/>
        <v>6000</v>
      </c>
      <c r="AP77" s="18">
        <f t="shared" ca="1" si="179"/>
        <v>53656.127274036669</v>
      </c>
      <c r="AQ77" s="18">
        <f ca="1">SUM($AP$73:AP77)</f>
        <v>311206.03033487708</v>
      </c>
      <c r="AR77" s="41">
        <f t="shared" ca="1" si="170"/>
        <v>0.2</v>
      </c>
      <c r="AS77" s="30">
        <f t="shared" ca="1" si="180"/>
        <v>0</v>
      </c>
      <c r="AT77" s="43">
        <f t="shared" ca="1" si="171"/>
        <v>0.2</v>
      </c>
      <c r="AU77" s="18">
        <f t="shared" ca="1" si="182"/>
        <v>-10731.23</v>
      </c>
      <c r="AV77" s="18">
        <f t="shared" ca="1" si="172"/>
        <v>-6519.9</v>
      </c>
      <c r="AW77" s="43">
        <f t="shared" ca="1" si="173"/>
        <v>0.79240999999999995</v>
      </c>
      <c r="AX77" s="43">
        <f t="shared" si="181"/>
        <v>0.84240999999999999</v>
      </c>
      <c r="AY77" s="43">
        <f t="shared" ca="1" si="174"/>
        <v>0.67240999999999995</v>
      </c>
      <c r="BD77" s="17">
        <v>75</v>
      </c>
      <c r="BE77" s="21">
        <v>37.5</v>
      </c>
      <c r="BF77" s="40" t="s">
        <v>0</v>
      </c>
    </row>
    <row r="78" spans="31:58" ht="39.950000000000003" hidden="1" customHeight="1" x14ac:dyDescent="0.25">
      <c r="AE78" s="18">
        <f t="shared" ca="1" si="163"/>
        <v>121657.22349641151</v>
      </c>
      <c r="AF78" s="18">
        <f t="shared" si="164"/>
        <v>39030</v>
      </c>
      <c r="AG78" s="18">
        <f t="shared" ca="1" si="175"/>
        <v>82627.223496411505</v>
      </c>
      <c r="AH78" s="18">
        <f t="shared" ca="1" si="165"/>
        <v>-627.14062633776336</v>
      </c>
      <c r="AI78" s="18">
        <f t="shared" ca="1" si="176"/>
        <v>121657.22349641151</v>
      </c>
      <c r="AJ78" s="18">
        <f t="shared" si="166"/>
        <v>6000</v>
      </c>
      <c r="AK78" s="18">
        <f t="shared" ca="1" si="167"/>
        <v>115657.22349641151</v>
      </c>
      <c r="AL78" s="18">
        <f t="shared" ca="1" si="177"/>
        <v>-16192.011289497612</v>
      </c>
      <c r="AM78" s="18">
        <f t="shared" ca="1" si="178"/>
        <v>-1156.5722349641151</v>
      </c>
      <c r="AN78" s="18">
        <f t="shared" ca="1" si="168"/>
        <v>104308.63997194977</v>
      </c>
      <c r="AO78" s="18">
        <f t="shared" si="169"/>
        <v>6000</v>
      </c>
      <c r="AP78" s="18">
        <f t="shared" ca="1" si="179"/>
        <v>98308.639971949771</v>
      </c>
      <c r="AQ78" s="18">
        <f ca="1">SUM($AP$73:AP78)</f>
        <v>409514.67030682683</v>
      </c>
      <c r="AR78" s="41">
        <f t="shared" ca="1" si="170"/>
        <v>0.27</v>
      </c>
      <c r="AS78" s="30">
        <f t="shared" ca="1" si="180"/>
        <v>1</v>
      </c>
      <c r="AT78" s="43">
        <f t="shared" ca="1" si="171"/>
        <v>0.20677485642836591</v>
      </c>
      <c r="AU78" s="18">
        <f t="shared" ca="1" si="182"/>
        <v>-20327.75</v>
      </c>
      <c r="AV78" s="18">
        <f t="shared" ca="1" si="172"/>
        <v>-16116.42</v>
      </c>
      <c r="AW78" s="43">
        <f t="shared" ca="1" si="173"/>
        <v>0.78563514357163411</v>
      </c>
      <c r="AX78" s="43">
        <f t="shared" si="181"/>
        <v>0.84240999999999999</v>
      </c>
      <c r="AY78" s="43">
        <f t="shared" ca="1" si="174"/>
        <v>0.66665137203588898</v>
      </c>
      <c r="BD78" s="17">
        <v>76</v>
      </c>
      <c r="BE78" s="21">
        <v>38</v>
      </c>
      <c r="BF78" s="40" t="s">
        <v>0</v>
      </c>
    </row>
    <row r="79" spans="31:58" ht="39.950000000000003" hidden="1" customHeight="1" x14ac:dyDescent="0.25">
      <c r="AE79" s="18">
        <f t="shared" ca="1" si="163"/>
        <v>82077.29676608312</v>
      </c>
      <c r="AF79" s="18">
        <f t="shared" si="164"/>
        <v>39030</v>
      </c>
      <c r="AG79" s="18">
        <f t="shared" ca="1" si="175"/>
        <v>43047.29676608312</v>
      </c>
      <c r="AH79" s="18">
        <f t="shared" ca="1" si="165"/>
        <v>-326.72898245457088</v>
      </c>
      <c r="AI79" s="18">
        <f t="shared" ca="1" si="176"/>
        <v>82077.29676608312</v>
      </c>
      <c r="AJ79" s="18">
        <f t="shared" si="166"/>
        <v>6000</v>
      </c>
      <c r="AK79" s="18">
        <f t="shared" ca="1" si="167"/>
        <v>76077.29676608312</v>
      </c>
      <c r="AL79" s="18">
        <f t="shared" ca="1" si="177"/>
        <v>-10650.821547251639</v>
      </c>
      <c r="AM79" s="18">
        <f t="shared" ca="1" si="178"/>
        <v>-760.77296766083123</v>
      </c>
      <c r="AN79" s="18">
        <f t="shared" ca="1" si="168"/>
        <v>70665.702251170645</v>
      </c>
      <c r="AO79" s="18">
        <f t="shared" si="169"/>
        <v>6000</v>
      </c>
      <c r="AP79" s="18">
        <f t="shared" ca="1" si="179"/>
        <v>64665.702251170645</v>
      </c>
      <c r="AQ79" s="18">
        <f ca="1">SUM($AP$73:AP79)</f>
        <v>474180.37255799747</v>
      </c>
      <c r="AR79" s="41">
        <f t="shared" ca="1" si="170"/>
        <v>0.27</v>
      </c>
      <c r="AS79" s="30">
        <f t="shared" ca="1" si="180"/>
        <v>0</v>
      </c>
      <c r="AT79" s="43">
        <f t="shared" ca="1" si="171"/>
        <v>0.27</v>
      </c>
      <c r="AU79" s="18">
        <f t="shared" ca="1" si="182"/>
        <v>-17459.740000000002</v>
      </c>
      <c r="AV79" s="18">
        <f t="shared" ca="1" si="172"/>
        <v>-12921.990000000002</v>
      </c>
      <c r="AW79" s="43">
        <f t="shared" ca="1" si="173"/>
        <v>0.72241</v>
      </c>
      <c r="AX79" s="43">
        <f t="shared" si="181"/>
        <v>0.84240999999999999</v>
      </c>
      <c r="AY79" s="43">
        <f t="shared" ca="1" si="174"/>
        <v>0.61290999999999995</v>
      </c>
      <c r="BD79" s="17">
        <v>77</v>
      </c>
      <c r="BE79" s="21">
        <v>38.5</v>
      </c>
      <c r="BF79" s="40" t="s">
        <v>0</v>
      </c>
    </row>
    <row r="80" spans="31:58" ht="39.950000000000003" hidden="1" customHeight="1" x14ac:dyDescent="0.25">
      <c r="AE80" s="18">
        <f t="shared" ca="1" si="163"/>
        <v>82418.292997177399</v>
      </c>
      <c r="AF80" s="18">
        <f t="shared" si="164"/>
        <v>39030</v>
      </c>
      <c r="AG80" s="18">
        <f t="shared" ca="1" si="175"/>
        <v>43388.292997177399</v>
      </c>
      <c r="AH80" s="18">
        <f t="shared" ca="1" si="165"/>
        <v>-329.31714384857645</v>
      </c>
      <c r="AI80" s="18">
        <f t="shared" ca="1" si="176"/>
        <v>82418.292997177399</v>
      </c>
      <c r="AJ80" s="18">
        <f t="shared" si="166"/>
        <v>6000</v>
      </c>
      <c r="AK80" s="18">
        <f t="shared" ca="1" si="167"/>
        <v>76418.292997177399</v>
      </c>
      <c r="AL80" s="18">
        <f t="shared" ca="1" si="177"/>
        <v>-10698.561019604836</v>
      </c>
      <c r="AM80" s="18">
        <f t="shared" ca="1" si="178"/>
        <v>-764.182929971774</v>
      </c>
      <c r="AN80" s="18">
        <f t="shared" ca="1" si="168"/>
        <v>70955.549047600784</v>
      </c>
      <c r="AO80" s="18">
        <f t="shared" si="169"/>
        <v>6000</v>
      </c>
      <c r="AP80" s="18">
        <f t="shared" ca="1" si="179"/>
        <v>64955.549047600784</v>
      </c>
      <c r="AQ80" s="18">
        <f ca="1">SUM($AP$73:AP80)</f>
        <v>539135.9216055983</v>
      </c>
      <c r="AR80" s="41">
        <f t="shared" ca="1" si="170"/>
        <v>0.27</v>
      </c>
      <c r="AS80" s="30">
        <f t="shared" ca="1" si="180"/>
        <v>0</v>
      </c>
      <c r="AT80" s="43">
        <f t="shared" ca="1" si="171"/>
        <v>0.27</v>
      </c>
      <c r="AU80" s="18">
        <f t="shared" ca="1" si="182"/>
        <v>-17538</v>
      </c>
      <c r="AV80" s="18">
        <f t="shared" ca="1" si="172"/>
        <v>-11922.9</v>
      </c>
      <c r="AW80" s="43">
        <f t="shared" ca="1" si="173"/>
        <v>0.72241</v>
      </c>
      <c r="AX80" s="43">
        <f t="shared" si="181"/>
        <v>0.84240999999999999</v>
      </c>
      <c r="AY80" s="43">
        <f t="shared" ca="1" si="174"/>
        <v>0.61290999999999995</v>
      </c>
      <c r="BD80" s="17">
        <v>78</v>
      </c>
      <c r="BE80" s="21">
        <v>39</v>
      </c>
      <c r="BF80" s="40" t="s">
        <v>0</v>
      </c>
    </row>
    <row r="81" spans="31:58" ht="39.950000000000003" hidden="1" customHeight="1" x14ac:dyDescent="0.25">
      <c r="AE81" s="18">
        <f t="shared" ca="1" si="163"/>
        <v>158438.2929971774</v>
      </c>
      <c r="AF81" s="18">
        <f t="shared" si="164"/>
        <v>39030</v>
      </c>
      <c r="AG81" s="18">
        <f t="shared" ca="1" si="175"/>
        <v>119408.2929971774</v>
      </c>
      <c r="AH81" s="18">
        <f t="shared" ca="1" si="165"/>
        <v>-906.30894384857652</v>
      </c>
      <c r="AI81" s="18">
        <f t="shared" ca="1" si="176"/>
        <v>158438.2929971774</v>
      </c>
      <c r="AJ81" s="18">
        <f t="shared" si="166"/>
        <v>6000</v>
      </c>
      <c r="AK81" s="18">
        <f t="shared" ca="1" si="167"/>
        <v>152438.2929971774</v>
      </c>
      <c r="AL81" s="18">
        <f t="shared" ca="1" si="177"/>
        <v>-21341.361019604839</v>
      </c>
      <c r="AM81" s="18">
        <f t="shared" ca="1" si="178"/>
        <v>-1524.382929971774</v>
      </c>
      <c r="AN81" s="18">
        <f t="shared" ca="1" si="168"/>
        <v>135572.5490476008</v>
      </c>
      <c r="AO81" s="18">
        <f t="shared" si="169"/>
        <v>6000</v>
      </c>
      <c r="AP81" s="18">
        <f t="shared" ca="1" si="179"/>
        <v>129572.5490476008</v>
      </c>
      <c r="AQ81" s="18">
        <f ca="1">SUM($AP$73:AP81)</f>
        <v>668708.47065319913</v>
      </c>
      <c r="AR81" s="41">
        <f t="shared" ca="1" si="170"/>
        <v>0.27</v>
      </c>
      <c r="AS81" s="30">
        <f t="shared" ca="1" si="180"/>
        <v>0</v>
      </c>
      <c r="AT81" s="43">
        <f t="shared" ca="1" si="171"/>
        <v>0.27</v>
      </c>
      <c r="AU81" s="18">
        <f t="shared" ca="1" si="182"/>
        <v>-34984.589999999997</v>
      </c>
      <c r="AV81" s="18">
        <f t="shared" ca="1" si="172"/>
        <v>-29369.489999999998</v>
      </c>
      <c r="AW81" s="43">
        <f t="shared" ca="1" si="173"/>
        <v>0.72241</v>
      </c>
      <c r="AX81" s="43">
        <f t="shared" si="181"/>
        <v>0.84240999999999999</v>
      </c>
      <c r="AY81" s="43">
        <f t="shared" ca="1" si="174"/>
        <v>0.61290999999999995</v>
      </c>
      <c r="BD81" s="17">
        <v>79</v>
      </c>
      <c r="BE81" s="21">
        <v>39.5</v>
      </c>
      <c r="BF81" s="40" t="s">
        <v>0</v>
      </c>
    </row>
    <row r="82" spans="31:58" ht="39.950000000000003" hidden="1" customHeight="1" x14ac:dyDescent="0.25">
      <c r="AE82" s="18">
        <f t="shared" ca="1" si="163"/>
        <v>92183.292997177399</v>
      </c>
      <c r="AF82" s="18">
        <f t="shared" si="164"/>
        <v>39030</v>
      </c>
      <c r="AG82" s="18">
        <f t="shared" ca="1" si="175"/>
        <v>53153.292997177399</v>
      </c>
      <c r="AH82" s="18">
        <f t="shared" ca="1" si="165"/>
        <v>-403.43349384857646</v>
      </c>
      <c r="AI82" s="18">
        <f t="shared" ca="1" si="176"/>
        <v>92183.292997177399</v>
      </c>
      <c r="AJ82" s="18">
        <f t="shared" si="166"/>
        <v>6000</v>
      </c>
      <c r="AK82" s="18">
        <f t="shared" ca="1" si="167"/>
        <v>86183.292997177399</v>
      </c>
      <c r="AL82" s="18">
        <f t="shared" ca="1" si="177"/>
        <v>-12065.661019604837</v>
      </c>
      <c r="AM82" s="18">
        <f t="shared" ca="1" si="178"/>
        <v>-861.83292997177398</v>
      </c>
      <c r="AN82" s="18">
        <f t="shared" ca="1" si="168"/>
        <v>79255.799047600784</v>
      </c>
      <c r="AO82" s="18">
        <f t="shared" si="169"/>
        <v>6000</v>
      </c>
      <c r="AP82" s="18">
        <f t="shared" ca="1" si="179"/>
        <v>73255.799047600784</v>
      </c>
      <c r="AQ82" s="18">
        <f ca="1">SUM($AP$73:AP82)</f>
        <v>741964.26970079995</v>
      </c>
      <c r="AR82" s="41">
        <f t="shared" ca="1" si="170"/>
        <v>0.27</v>
      </c>
      <c r="AS82" s="30">
        <f t="shared" ca="1" si="180"/>
        <v>0</v>
      </c>
      <c r="AT82" s="43">
        <f t="shared" ca="1" si="171"/>
        <v>0.27</v>
      </c>
      <c r="AU82" s="18">
        <f t="shared" ca="1" si="182"/>
        <v>-19779.07</v>
      </c>
      <c r="AV82" s="18">
        <f t="shared" ca="1" si="172"/>
        <v>-14163.97</v>
      </c>
      <c r="AW82" s="43">
        <f t="shared" ca="1" si="173"/>
        <v>0.72241</v>
      </c>
      <c r="AX82" s="43">
        <f t="shared" si="181"/>
        <v>0.84240999999999999</v>
      </c>
      <c r="AY82" s="43">
        <f t="shared" ca="1" si="174"/>
        <v>0.61290999999999995</v>
      </c>
      <c r="BD82" s="17">
        <v>80</v>
      </c>
      <c r="BE82" s="21">
        <v>40</v>
      </c>
      <c r="BF82" s="40" t="s">
        <v>0</v>
      </c>
    </row>
    <row r="83" spans="31:58" ht="39.950000000000003" hidden="1" customHeight="1" x14ac:dyDescent="0.25">
      <c r="AE83" s="18">
        <f t="shared" ca="1" si="163"/>
        <v>92183.292997177399</v>
      </c>
      <c r="AF83" s="18">
        <f t="shared" si="164"/>
        <v>39030</v>
      </c>
      <c r="AG83" s="18">
        <f t="shared" ca="1" si="175"/>
        <v>53153.292997177399</v>
      </c>
      <c r="AH83" s="18">
        <f t="shared" ca="1" si="165"/>
        <v>-403.43349384857646</v>
      </c>
      <c r="AI83" s="18">
        <f t="shared" ca="1" si="176"/>
        <v>92183.292997177399</v>
      </c>
      <c r="AJ83" s="18">
        <f t="shared" si="166"/>
        <v>6000</v>
      </c>
      <c r="AK83" s="18">
        <f t="shared" ca="1" si="167"/>
        <v>86183.292997177399</v>
      </c>
      <c r="AL83" s="18">
        <f t="shared" ca="1" si="177"/>
        <v>-12065.661019604837</v>
      </c>
      <c r="AM83" s="18">
        <f t="shared" ca="1" si="178"/>
        <v>-861.83292997177398</v>
      </c>
      <c r="AN83" s="18">
        <f t="shared" ca="1" si="168"/>
        <v>79255.799047600784</v>
      </c>
      <c r="AO83" s="18">
        <f t="shared" si="169"/>
        <v>6000</v>
      </c>
      <c r="AP83" s="18">
        <f t="shared" ca="1" si="179"/>
        <v>73255.799047600784</v>
      </c>
      <c r="AQ83" s="18">
        <f ca="1">SUM($AP$73:AP83)</f>
        <v>815220.06874840078</v>
      </c>
      <c r="AR83" s="41">
        <f t="shared" ca="1" si="170"/>
        <v>0.27</v>
      </c>
      <c r="AS83" s="30">
        <f t="shared" ca="1" si="180"/>
        <v>0</v>
      </c>
      <c r="AT83" s="43">
        <f t="shared" ca="1" si="171"/>
        <v>0.27</v>
      </c>
      <c r="AU83" s="18">
        <f t="shared" ca="1" si="182"/>
        <v>-19779.07</v>
      </c>
      <c r="AV83" s="18">
        <f t="shared" ca="1" si="172"/>
        <v>-14163.97</v>
      </c>
      <c r="AW83" s="43">
        <f t="shared" ca="1" si="173"/>
        <v>0.72241</v>
      </c>
      <c r="AX83" s="43">
        <f t="shared" si="181"/>
        <v>0.84240999999999999</v>
      </c>
      <c r="AY83" s="43">
        <f t="shared" ca="1" si="174"/>
        <v>0.61290999999999995</v>
      </c>
      <c r="BD83" s="17">
        <v>81</v>
      </c>
      <c r="BE83" s="21">
        <v>40.5</v>
      </c>
      <c r="BF83" s="40" t="s">
        <v>0</v>
      </c>
    </row>
    <row r="84" spans="31:58" ht="39.950000000000003" hidden="1" customHeight="1" x14ac:dyDescent="0.25">
      <c r="AE84" s="18">
        <f t="shared" ca="1" si="163"/>
        <v>164948.2929971774</v>
      </c>
      <c r="AF84" s="18">
        <f t="shared" si="164"/>
        <v>39030</v>
      </c>
      <c r="AG84" s="18">
        <f t="shared" ca="1" si="175"/>
        <v>125918.2929971774</v>
      </c>
      <c r="AH84" s="18">
        <f t="shared" ca="1" si="165"/>
        <v>-955.71984384857649</v>
      </c>
      <c r="AI84" s="18">
        <f t="shared" ca="1" si="176"/>
        <v>164948.2929971774</v>
      </c>
      <c r="AJ84" s="18">
        <f t="shared" si="166"/>
        <v>6000</v>
      </c>
      <c r="AK84" s="18">
        <f t="shared" ca="1" si="167"/>
        <v>158948.2929971774</v>
      </c>
      <c r="AL84" s="18">
        <f t="shared" ca="1" si="177"/>
        <v>-22252.761019604837</v>
      </c>
      <c r="AM84" s="18">
        <f t="shared" ca="1" si="178"/>
        <v>-1589.482929971774</v>
      </c>
      <c r="AN84" s="18">
        <f t="shared" ca="1" si="168"/>
        <v>141106.0490476008</v>
      </c>
      <c r="AO84" s="18">
        <f t="shared" si="169"/>
        <v>6000</v>
      </c>
      <c r="AP84" s="18">
        <f t="shared" ca="1" si="179"/>
        <v>135106.0490476008</v>
      </c>
      <c r="AQ84" s="18">
        <f ca="1">SUM($AP$73:AP84)</f>
        <v>950326.11779600161</v>
      </c>
      <c r="AR84" s="41">
        <f t="shared" ca="1" si="170"/>
        <v>0.27</v>
      </c>
      <c r="AS84" s="30">
        <f t="shared" ca="1" si="180"/>
        <v>0</v>
      </c>
      <c r="AT84" s="43">
        <f t="shared" ca="1" si="171"/>
        <v>0.27</v>
      </c>
      <c r="AU84" s="18">
        <f t="shared" ca="1" si="182"/>
        <v>-36478.629999999997</v>
      </c>
      <c r="AV84" s="18">
        <f t="shared" ca="1" si="172"/>
        <v>-30863.53</v>
      </c>
      <c r="AW84" s="43">
        <f t="shared" ca="1" si="173"/>
        <v>0.72241</v>
      </c>
      <c r="AX84" s="43">
        <f t="shared" si="181"/>
        <v>0.84240999999999999</v>
      </c>
      <c r="AY84" s="43">
        <f t="shared" ca="1" si="174"/>
        <v>0.61290999999999995</v>
      </c>
      <c r="BD84" s="17">
        <v>82</v>
      </c>
      <c r="BE84" s="21">
        <v>41</v>
      </c>
      <c r="BF84" s="40" t="s">
        <v>0</v>
      </c>
    </row>
    <row r="85" spans="31:58" ht="39.950000000000003" hidden="1" customHeight="1" x14ac:dyDescent="0.25">
      <c r="AE85" s="18">
        <f t="shared" ref="AE85:AF85" ca="1" si="183">(AE73+AE74+AE75+AE76+AE77+AE78+AE79+AE80+AE81+AE82+AE83+AE84)</f>
        <v>1190030.7268188256</v>
      </c>
      <c r="AF85" s="18">
        <f t="shared" si="183"/>
        <v>468360</v>
      </c>
      <c r="AG85" s="18">
        <f t="shared" ref="AG85" ca="1" si="184">(AG73+AG74+AG75+AG76+AG77+AG78+AG79+AG80+AG81+AG82+AG83+AG84)</f>
        <v>721670.72681882535</v>
      </c>
      <c r="AH85" s="18">
        <f t="shared" ref="AH85" ca="1" si="185">(AH73+AH74+AH75+AH76+AH77+AH78+AH79+AH80+AH81+AH82+AH83+AH84)</f>
        <v>-5477.4808165548839</v>
      </c>
      <c r="AI85" s="18">
        <f t="shared" ref="AI85" ca="1" si="186">(AI73+AI74+AI75+AI76+AI77+AI78+AI79+AI80+AI81+AI82+AI83+AI84)</f>
        <v>1190030.7268188256</v>
      </c>
      <c r="AJ85" s="18">
        <f t="shared" ref="AJ85" si="187">(AJ73+AJ74+AJ75+AJ76+AJ77+AJ78+AJ79+AJ80+AJ81+AJ82+AJ83+AJ84)</f>
        <v>72000</v>
      </c>
      <c r="AK85" s="18">
        <f t="shared" ref="AK85" ca="1" si="188">(AK73+AK74+AK75+AK76+AK77+AK78+AK79+AK80+AK81+AK82+AK83+AK84)</f>
        <v>1118030.7268188256</v>
      </c>
      <c r="AL85" s="18">
        <f t="shared" ref="AL85" ca="1" si="189">(AL73+AL74+AL75+AL76+AL77+AL78+AL79+AL80+AL81+AL82+AL83+AL84)</f>
        <v>-156524.30175463553</v>
      </c>
      <c r="AM85" s="18">
        <f t="shared" ref="AM85" ca="1" si="190">(AM73+AM74+AM75+AM76+AM77+AM78+AM79+AM80+AM81+AM82+AM83+AM84)</f>
        <v>-11180.307268188251</v>
      </c>
      <c r="AN85" s="18">
        <f t="shared" ref="AN85:AP85" ca="1" si="191">(AN73+AN74+AN75+AN76+AN77+AN78+AN79+AN80+AN81+AN82+AN83+AN84)</f>
        <v>1022326.1177960016</v>
      </c>
      <c r="AO85" s="18">
        <f t="shared" ref="AO85" si="192">(AO73+AO74+AO75+AO76+AO77+AO78+AO79+AO80+AO81+AO82+AO83+AO84)</f>
        <v>72000</v>
      </c>
      <c r="AP85" s="18">
        <f t="shared" ca="1" si="191"/>
        <v>950326.11779600161</v>
      </c>
      <c r="AQ85" s="23" t="s">
        <v>0</v>
      </c>
      <c r="AR85" s="17" t="s">
        <v>0</v>
      </c>
      <c r="AS85" s="17" t="s">
        <v>0</v>
      </c>
      <c r="AT85" s="20">
        <f t="shared" ref="AT85:AU85" ca="1" si="193">(AT73+AT74+AT75+AT76+AT77+AT78+AT79+AT80+AT81+AT82+AT83+AT84)</f>
        <v>2.6838593177791217</v>
      </c>
      <c r="AU85" s="18">
        <f t="shared" ca="1" si="193"/>
        <v>-219088.06</v>
      </c>
      <c r="AV85" s="18">
        <f t="shared" ref="AV85" ca="1" si="194">(AV73+AV74+AV75+AV76+AV77+AV78+AV79+AV80+AV81+AV82+AV83+AV84)</f>
        <v>-161206.82999999999</v>
      </c>
      <c r="AW85" s="17" t="s">
        <v>0</v>
      </c>
      <c r="AX85" s="17" t="s">
        <v>0</v>
      </c>
      <c r="AY85" s="17" t="s">
        <v>0</v>
      </c>
      <c r="BD85" s="17">
        <v>83</v>
      </c>
      <c r="BE85" s="21">
        <v>41.5</v>
      </c>
      <c r="BF85" s="40" t="s">
        <v>0</v>
      </c>
    </row>
    <row r="86" spans="31:58" ht="39.950000000000003" hidden="1" customHeight="1" x14ac:dyDescent="0.25">
      <c r="AE86" s="18">
        <f t="shared" ref="AE86:AF86" ca="1" si="195">(AE85/12)</f>
        <v>99169.227234902137</v>
      </c>
      <c r="AF86" s="18">
        <f t="shared" si="195"/>
        <v>39030</v>
      </c>
      <c r="AG86" s="18">
        <f t="shared" ref="AG86" ca="1" si="196">(AG85/12)</f>
        <v>60139.227234902115</v>
      </c>
      <c r="AH86" s="18">
        <f t="shared" ref="AH86" ca="1" si="197">(AH85/12)</f>
        <v>-456.45673471290701</v>
      </c>
      <c r="AI86" s="18">
        <f t="shared" ref="AI86" ca="1" si="198">(AI85/12)</f>
        <v>99169.227234902137</v>
      </c>
      <c r="AJ86" s="18">
        <f t="shared" ref="AJ86" si="199">(AJ85/12)</f>
        <v>6000</v>
      </c>
      <c r="AK86" s="18">
        <f t="shared" ref="AK86" ca="1" si="200">(AK85/12)</f>
        <v>93169.227234902137</v>
      </c>
      <c r="AL86" s="18">
        <f t="shared" ref="AL86" ca="1" si="201">(AL85/12)</f>
        <v>-13043.691812886294</v>
      </c>
      <c r="AM86" s="18">
        <f t="shared" ref="AM86" ca="1" si="202">(AM85/12)</f>
        <v>-931.69227234902098</v>
      </c>
      <c r="AN86" s="18">
        <f t="shared" ref="AN86:AP86" ca="1" si="203">(AN85/12)</f>
        <v>85193.843149666805</v>
      </c>
      <c r="AO86" s="18">
        <f t="shared" ref="AO86" si="204">(AO85/12)</f>
        <v>6000</v>
      </c>
      <c r="AP86" s="18">
        <f t="shared" ca="1" si="203"/>
        <v>79193.843149666805</v>
      </c>
      <c r="AQ86" s="23" t="s">
        <v>0</v>
      </c>
      <c r="AR86" s="23" t="s">
        <v>0</v>
      </c>
      <c r="AS86" s="23" t="s">
        <v>0</v>
      </c>
      <c r="AT86" s="20">
        <f t="shared" ref="AT86:AU86" ca="1" si="205">(AT85/12)</f>
        <v>0.22365494314826015</v>
      </c>
      <c r="AU86" s="18">
        <f t="shared" ca="1" si="205"/>
        <v>-18257.338333333333</v>
      </c>
      <c r="AV86" s="18">
        <f t="shared" ref="AV86" ca="1" si="206">(AV85/12)</f>
        <v>-13433.902499999998</v>
      </c>
      <c r="AW86" s="23" t="s">
        <v>0</v>
      </c>
      <c r="AX86" s="23" t="s">
        <v>0</v>
      </c>
      <c r="AY86" s="23" t="s">
        <v>0</v>
      </c>
      <c r="BD86" s="17">
        <v>84</v>
      </c>
      <c r="BE86" s="21">
        <v>42</v>
      </c>
      <c r="BF86" s="40" t="s">
        <v>0</v>
      </c>
    </row>
    <row r="87" spans="31:58" ht="39.950000000000003" hidden="1" customHeight="1" x14ac:dyDescent="0.25">
      <c r="BD87" s="17">
        <v>85</v>
      </c>
      <c r="BE87" s="21">
        <v>42.5</v>
      </c>
      <c r="BF87" s="40" t="s">
        <v>0</v>
      </c>
    </row>
    <row r="88" spans="31:58" ht="39.950000000000003" hidden="1" customHeight="1" x14ac:dyDescent="0.25">
      <c r="BD88" s="17">
        <v>86</v>
      </c>
      <c r="BE88" s="21">
        <v>43</v>
      </c>
      <c r="BF88" s="40" t="s">
        <v>0</v>
      </c>
    </row>
    <row r="89" spans="31:58" ht="39.950000000000003" hidden="1" customHeight="1" x14ac:dyDescent="0.25">
      <c r="BD89" s="17">
        <v>87</v>
      </c>
      <c r="BE89" s="21">
        <v>43.5</v>
      </c>
      <c r="BF89" s="40" t="s">
        <v>0</v>
      </c>
    </row>
    <row r="90" spans="31:58" ht="39.950000000000003" hidden="1" customHeight="1" x14ac:dyDescent="0.25">
      <c r="BD90" s="17">
        <v>88</v>
      </c>
      <c r="BE90" s="21">
        <v>44</v>
      </c>
      <c r="BF90" s="40" t="s">
        <v>0</v>
      </c>
    </row>
    <row r="91" spans="31:58" ht="39.950000000000003" hidden="1" customHeight="1" x14ac:dyDescent="0.25">
      <c r="BD91" s="17">
        <v>89</v>
      </c>
      <c r="BE91" s="21">
        <v>44.5</v>
      </c>
      <c r="BF91" s="40" t="s">
        <v>0</v>
      </c>
    </row>
    <row r="92" spans="31:58" ht="39.950000000000003" hidden="1" customHeight="1" x14ac:dyDescent="0.25">
      <c r="BD92" s="17">
        <v>90</v>
      </c>
      <c r="BE92" s="21">
        <v>45</v>
      </c>
      <c r="BF92" s="40" t="s">
        <v>0</v>
      </c>
    </row>
    <row r="93" spans="31:58" ht="39.950000000000003" hidden="1" customHeight="1" x14ac:dyDescent="0.25">
      <c r="BD93" s="17">
        <v>91</v>
      </c>
      <c r="BE93" s="21">
        <v>45.5</v>
      </c>
      <c r="BF93" s="40" t="s">
        <v>0</v>
      </c>
    </row>
    <row r="94" spans="31:58" ht="39.950000000000003" hidden="1" customHeight="1" x14ac:dyDescent="0.25">
      <c r="BD94" s="17">
        <v>92</v>
      </c>
      <c r="BE94" s="21">
        <v>46</v>
      </c>
      <c r="BF94" s="40" t="s">
        <v>0</v>
      </c>
    </row>
    <row r="95" spans="31:58" ht="39.950000000000003" hidden="1" customHeight="1" x14ac:dyDescent="0.25">
      <c r="BD95" s="17">
        <v>93</v>
      </c>
      <c r="BE95" s="21">
        <v>46.5</v>
      </c>
      <c r="BF95" s="40" t="s">
        <v>0</v>
      </c>
    </row>
    <row r="96" spans="31:58" ht="39.950000000000003" hidden="1" customHeight="1" x14ac:dyDescent="0.25">
      <c r="BD96" s="17">
        <v>94</v>
      </c>
      <c r="BE96" s="21">
        <v>47</v>
      </c>
      <c r="BF96" s="40" t="s">
        <v>0</v>
      </c>
    </row>
    <row r="97" spans="56:58" ht="39.950000000000003" hidden="1" customHeight="1" x14ac:dyDescent="0.25">
      <c r="BD97" s="17">
        <v>95</v>
      </c>
      <c r="BE97" s="21">
        <v>47.5</v>
      </c>
      <c r="BF97" s="40" t="s">
        <v>0</v>
      </c>
    </row>
    <row r="98" spans="56:58" ht="39.950000000000003" hidden="1" customHeight="1" x14ac:dyDescent="0.25">
      <c r="BD98" s="17">
        <v>96</v>
      </c>
      <c r="BE98" s="21">
        <v>48</v>
      </c>
      <c r="BF98" s="40" t="s">
        <v>0</v>
      </c>
    </row>
    <row r="99" spans="56:58" ht="39.950000000000003" hidden="1" customHeight="1" x14ac:dyDescent="0.25">
      <c r="BD99" s="17">
        <v>97</v>
      </c>
      <c r="BE99" s="21">
        <v>48.5</v>
      </c>
      <c r="BF99" s="40" t="s">
        <v>0</v>
      </c>
    </row>
    <row r="100" spans="56:58" ht="39.950000000000003" hidden="1" customHeight="1" x14ac:dyDescent="0.25">
      <c r="BD100" s="17">
        <v>98</v>
      </c>
      <c r="BE100" s="21">
        <v>49</v>
      </c>
      <c r="BF100" s="40" t="s">
        <v>0</v>
      </c>
    </row>
    <row r="101" spans="56:58" ht="39.950000000000003" hidden="1" customHeight="1" x14ac:dyDescent="0.25">
      <c r="BD101" s="17">
        <v>99</v>
      </c>
      <c r="BE101" s="21">
        <v>49.5</v>
      </c>
      <c r="BF101" s="40" t="s">
        <v>0</v>
      </c>
    </row>
    <row r="102" spans="56:58" ht="39.950000000000003" hidden="1" customHeight="1" x14ac:dyDescent="0.25">
      <c r="BD102" s="17">
        <v>100</v>
      </c>
      <c r="BE102" s="21">
        <v>50</v>
      </c>
      <c r="BF102" s="40" t="s">
        <v>0</v>
      </c>
    </row>
    <row r="103" spans="56:58" ht="39.950000000000003" hidden="1" customHeight="1" x14ac:dyDescent="0.25">
      <c r="BD103" s="17">
        <v>101</v>
      </c>
      <c r="BE103" s="21">
        <v>50.5</v>
      </c>
      <c r="BF103" s="40" t="s">
        <v>0</v>
      </c>
    </row>
    <row r="104" spans="56:58" ht="39.950000000000003" hidden="1" customHeight="1" x14ac:dyDescent="0.25">
      <c r="BD104" s="17">
        <v>102</v>
      </c>
      <c r="BE104" s="21">
        <v>51</v>
      </c>
      <c r="BF104" s="40" t="s">
        <v>0</v>
      </c>
    </row>
    <row r="105" spans="56:58" ht="39.950000000000003" hidden="1" customHeight="1" x14ac:dyDescent="0.25">
      <c r="BD105" s="17">
        <v>103</v>
      </c>
      <c r="BE105" s="21">
        <v>51.5</v>
      </c>
      <c r="BF105" s="40" t="s">
        <v>0</v>
      </c>
    </row>
    <row r="106" spans="56:58" ht="39.950000000000003" hidden="1" customHeight="1" x14ac:dyDescent="0.25">
      <c r="BD106" s="17">
        <v>104</v>
      </c>
      <c r="BE106" s="21">
        <v>52</v>
      </c>
      <c r="BF106" s="40" t="s">
        <v>0</v>
      </c>
    </row>
    <row r="107" spans="56:58" ht="39.950000000000003" hidden="1" customHeight="1" x14ac:dyDescent="0.25">
      <c r="BD107" s="17">
        <v>105</v>
      </c>
      <c r="BE107" s="21">
        <v>52.5</v>
      </c>
      <c r="BF107" s="40" t="s">
        <v>0</v>
      </c>
    </row>
    <row r="108" spans="56:58" ht="39.950000000000003" hidden="1" customHeight="1" x14ac:dyDescent="0.25">
      <c r="BD108" s="17">
        <v>106</v>
      </c>
      <c r="BE108" s="21">
        <v>53</v>
      </c>
      <c r="BF108" s="40" t="s">
        <v>0</v>
      </c>
    </row>
    <row r="109" spans="56:58" ht="39.950000000000003" hidden="1" customHeight="1" x14ac:dyDescent="0.25">
      <c r="BD109" s="17">
        <v>107</v>
      </c>
      <c r="BE109" s="21">
        <v>53.5</v>
      </c>
      <c r="BF109" s="40" t="s">
        <v>0</v>
      </c>
    </row>
    <row r="110" spans="56:58" ht="39.950000000000003" hidden="1" customHeight="1" x14ac:dyDescent="0.25">
      <c r="BD110" s="17">
        <v>108</v>
      </c>
      <c r="BE110" s="21">
        <v>54</v>
      </c>
      <c r="BF110" s="40" t="s">
        <v>0</v>
      </c>
    </row>
    <row r="111" spans="56:58" ht="39.950000000000003" hidden="1" customHeight="1" x14ac:dyDescent="0.25">
      <c r="BD111" s="17">
        <v>109</v>
      </c>
      <c r="BE111" s="21">
        <v>54.5</v>
      </c>
      <c r="BF111" s="40" t="s">
        <v>0</v>
      </c>
    </row>
    <row r="112" spans="56:58" ht="39.950000000000003" hidden="1" customHeight="1" x14ac:dyDescent="0.25">
      <c r="BD112" s="17">
        <v>110</v>
      </c>
      <c r="BE112" s="21">
        <v>55</v>
      </c>
      <c r="BF112" s="40" t="s">
        <v>0</v>
      </c>
    </row>
    <row r="113" spans="56:58" ht="39.950000000000003" hidden="1" customHeight="1" x14ac:dyDescent="0.25">
      <c r="BD113" s="17">
        <v>111</v>
      </c>
      <c r="BE113" s="21">
        <v>55.5</v>
      </c>
      <c r="BF113" s="40" t="s">
        <v>0</v>
      </c>
    </row>
    <row r="114" spans="56:58" ht="39.950000000000003" hidden="1" customHeight="1" x14ac:dyDescent="0.25">
      <c r="BD114" s="17">
        <v>112</v>
      </c>
      <c r="BE114" s="21">
        <v>56</v>
      </c>
      <c r="BF114" s="40" t="s">
        <v>0</v>
      </c>
    </row>
    <row r="115" spans="56:58" ht="39.950000000000003" hidden="1" customHeight="1" x14ac:dyDescent="0.25">
      <c r="BD115" s="17">
        <v>113</v>
      </c>
      <c r="BE115" s="21">
        <v>56.5</v>
      </c>
      <c r="BF115" s="40" t="s">
        <v>0</v>
      </c>
    </row>
    <row r="116" spans="56:58" ht="39.950000000000003" hidden="1" customHeight="1" x14ac:dyDescent="0.25">
      <c r="BD116" s="17">
        <v>114</v>
      </c>
      <c r="BE116" s="21">
        <v>57</v>
      </c>
      <c r="BF116" s="40" t="s">
        <v>0</v>
      </c>
    </row>
    <row r="117" spans="56:58" ht="39.950000000000003" hidden="1" customHeight="1" x14ac:dyDescent="0.25">
      <c r="BD117" s="17">
        <v>115</v>
      </c>
      <c r="BE117" s="21">
        <v>57.5</v>
      </c>
      <c r="BF117" s="40" t="s">
        <v>0</v>
      </c>
    </row>
    <row r="118" spans="56:58" ht="39.950000000000003" hidden="1" customHeight="1" x14ac:dyDescent="0.25">
      <c r="BD118" s="17">
        <v>116</v>
      </c>
      <c r="BE118" s="21">
        <v>58</v>
      </c>
      <c r="BF118" s="40" t="s">
        <v>0</v>
      </c>
    </row>
    <row r="119" spans="56:58" ht="39.950000000000003" hidden="1" customHeight="1" x14ac:dyDescent="0.25">
      <c r="BD119" s="17">
        <v>117</v>
      </c>
      <c r="BE119" s="21">
        <v>58.5</v>
      </c>
      <c r="BF119" s="40" t="s">
        <v>0</v>
      </c>
    </row>
    <row r="120" spans="56:58" ht="39.950000000000003" hidden="1" customHeight="1" x14ac:dyDescent="0.25">
      <c r="BD120" s="17">
        <v>118</v>
      </c>
      <c r="BE120" s="21">
        <v>59</v>
      </c>
      <c r="BF120" s="40" t="s">
        <v>0</v>
      </c>
    </row>
    <row r="121" spans="56:58" ht="39.950000000000003" hidden="1" customHeight="1" x14ac:dyDescent="0.25">
      <c r="BD121" s="17">
        <v>119</v>
      </c>
      <c r="BE121" s="21">
        <v>59.5</v>
      </c>
      <c r="BF121" s="40" t="s">
        <v>0</v>
      </c>
    </row>
    <row r="122" spans="56:58" ht="39.950000000000003" hidden="1" customHeight="1" x14ac:dyDescent="0.25">
      <c r="BD122" s="17">
        <v>120</v>
      </c>
      <c r="BE122" s="21">
        <v>60</v>
      </c>
      <c r="BF122" s="40" t="s">
        <v>0</v>
      </c>
    </row>
    <row r="123" spans="56:58" ht="39.950000000000003" hidden="1" customHeight="1" x14ac:dyDescent="0.25">
      <c r="BD123" s="17">
        <v>121</v>
      </c>
      <c r="BE123" s="21">
        <v>60.5</v>
      </c>
      <c r="BF123" s="40" t="s">
        <v>0</v>
      </c>
    </row>
    <row r="124" spans="56:58" ht="39.950000000000003" hidden="1" customHeight="1" x14ac:dyDescent="0.25">
      <c r="BD124" s="17">
        <v>122</v>
      </c>
      <c r="BE124" s="21">
        <v>61</v>
      </c>
      <c r="BF124" s="40" t="s">
        <v>0</v>
      </c>
    </row>
    <row r="125" spans="56:58" ht="39.950000000000003" hidden="1" customHeight="1" x14ac:dyDescent="0.25">
      <c r="BD125" s="17">
        <v>123</v>
      </c>
      <c r="BE125" s="21">
        <v>61.5</v>
      </c>
      <c r="BF125" s="40" t="s">
        <v>0</v>
      </c>
    </row>
    <row r="126" spans="56:58" ht="39.950000000000003" hidden="1" customHeight="1" x14ac:dyDescent="0.25">
      <c r="BD126" s="17">
        <v>124</v>
      </c>
      <c r="BE126" s="21">
        <v>62</v>
      </c>
      <c r="BF126" s="40" t="s">
        <v>0</v>
      </c>
    </row>
    <row r="127" spans="56:58" ht="39.950000000000003" hidden="1" customHeight="1" x14ac:dyDescent="0.25">
      <c r="BD127" s="17">
        <v>125</v>
      </c>
      <c r="BE127" s="21">
        <v>62.5</v>
      </c>
      <c r="BF127" s="40" t="s">
        <v>0</v>
      </c>
    </row>
    <row r="128" spans="56:58" ht="39.950000000000003" hidden="1" customHeight="1" x14ac:dyDescent="0.25">
      <c r="BD128" s="17">
        <v>126</v>
      </c>
      <c r="BE128" s="21">
        <v>63</v>
      </c>
      <c r="BF128" s="40" t="s">
        <v>0</v>
      </c>
    </row>
    <row r="129" spans="56:58" ht="39.950000000000003" hidden="1" customHeight="1" x14ac:dyDescent="0.25">
      <c r="BD129" s="17">
        <v>127</v>
      </c>
      <c r="BE129" s="21">
        <v>63.5</v>
      </c>
      <c r="BF129" s="40" t="s">
        <v>0</v>
      </c>
    </row>
    <row r="130" spans="56:58" ht="39.950000000000003" hidden="1" customHeight="1" x14ac:dyDescent="0.25">
      <c r="BD130" s="17">
        <v>128</v>
      </c>
      <c r="BE130" s="21">
        <v>64</v>
      </c>
      <c r="BF130" s="40" t="s">
        <v>0</v>
      </c>
    </row>
    <row r="131" spans="56:58" ht="39.950000000000003" hidden="1" customHeight="1" x14ac:dyDescent="0.25">
      <c r="BD131" s="17">
        <v>129</v>
      </c>
      <c r="BE131" s="21">
        <v>64.5</v>
      </c>
      <c r="BF131" s="40" t="s">
        <v>0</v>
      </c>
    </row>
    <row r="132" spans="56:58" ht="39.950000000000003" hidden="1" customHeight="1" x14ac:dyDescent="0.25">
      <c r="BD132" s="17">
        <v>130</v>
      </c>
      <c r="BE132" s="21">
        <v>65</v>
      </c>
      <c r="BF132" s="40" t="s">
        <v>0</v>
      </c>
    </row>
    <row r="133" spans="56:58" ht="39.950000000000003" hidden="1" customHeight="1" x14ac:dyDescent="0.25">
      <c r="BD133" s="17">
        <v>131</v>
      </c>
      <c r="BE133" s="21">
        <v>65.5</v>
      </c>
      <c r="BF133" s="40" t="s">
        <v>0</v>
      </c>
    </row>
    <row r="134" spans="56:58" ht="39.950000000000003" hidden="1" customHeight="1" x14ac:dyDescent="0.25">
      <c r="BD134" s="17">
        <v>132</v>
      </c>
      <c r="BE134" s="21">
        <v>66</v>
      </c>
      <c r="BF134" s="40" t="s">
        <v>0</v>
      </c>
    </row>
    <row r="135" spans="56:58" ht="39.950000000000003" hidden="1" customHeight="1" x14ac:dyDescent="0.25">
      <c r="BD135" s="17">
        <v>133</v>
      </c>
      <c r="BE135" s="21">
        <v>66.5</v>
      </c>
      <c r="BF135" s="40" t="s">
        <v>0</v>
      </c>
    </row>
    <row r="136" spans="56:58" ht="39.950000000000003" hidden="1" customHeight="1" x14ac:dyDescent="0.25">
      <c r="BD136" s="17">
        <v>134</v>
      </c>
      <c r="BE136" s="21">
        <v>67</v>
      </c>
      <c r="BF136" s="40" t="s">
        <v>0</v>
      </c>
    </row>
    <row r="137" spans="56:58" ht="39.950000000000003" hidden="1" customHeight="1" x14ac:dyDescent="0.25">
      <c r="BD137" s="17">
        <v>135</v>
      </c>
      <c r="BE137" s="21">
        <v>67.5</v>
      </c>
      <c r="BF137" s="40" t="s">
        <v>0</v>
      </c>
    </row>
    <row r="138" spans="56:58" ht="39.950000000000003" hidden="1" customHeight="1" x14ac:dyDescent="0.25">
      <c r="BD138" s="17">
        <v>136</v>
      </c>
      <c r="BE138" s="21">
        <v>68</v>
      </c>
      <c r="BF138" s="40" t="s">
        <v>0</v>
      </c>
    </row>
    <row r="139" spans="56:58" ht="39.950000000000003" hidden="1" customHeight="1" x14ac:dyDescent="0.25">
      <c r="BD139" s="17">
        <v>137</v>
      </c>
      <c r="BE139" s="21">
        <v>68.5</v>
      </c>
      <c r="BF139" s="40" t="s">
        <v>0</v>
      </c>
    </row>
    <row r="140" spans="56:58" ht="39.950000000000003" hidden="1" customHeight="1" x14ac:dyDescent="0.25">
      <c r="BD140" s="17">
        <v>138</v>
      </c>
      <c r="BE140" s="21">
        <v>69</v>
      </c>
      <c r="BF140" s="40" t="s">
        <v>0</v>
      </c>
    </row>
    <row r="141" spans="56:58" ht="39.950000000000003" hidden="1" customHeight="1" x14ac:dyDescent="0.25">
      <c r="BD141" s="17">
        <v>139</v>
      </c>
      <c r="BE141" s="21">
        <v>69.5</v>
      </c>
      <c r="BF141" s="40" t="s">
        <v>0</v>
      </c>
    </row>
    <row r="142" spans="56:58" ht="39.950000000000003" hidden="1" customHeight="1" x14ac:dyDescent="0.25">
      <c r="BD142" s="17">
        <v>140</v>
      </c>
      <c r="BE142" s="21">
        <v>70</v>
      </c>
      <c r="BF142" s="40" t="s">
        <v>0</v>
      </c>
    </row>
    <row r="143" spans="56:58" ht="39.950000000000003" hidden="1" customHeight="1" x14ac:dyDescent="0.25">
      <c r="BD143" s="17">
        <v>141</v>
      </c>
      <c r="BE143" s="21">
        <v>70.5</v>
      </c>
      <c r="BF143" s="40" t="s">
        <v>0</v>
      </c>
    </row>
    <row r="144" spans="56:58" ht="39.950000000000003" hidden="1" customHeight="1" x14ac:dyDescent="0.25">
      <c r="BD144" s="17">
        <v>142</v>
      </c>
      <c r="BE144" s="21">
        <v>71</v>
      </c>
      <c r="BF144" s="40" t="s">
        <v>0</v>
      </c>
    </row>
    <row r="145" spans="56:58" ht="39.950000000000003" hidden="1" customHeight="1" x14ac:dyDescent="0.25">
      <c r="BD145" s="17">
        <v>143</v>
      </c>
      <c r="BE145" s="21">
        <v>71.5</v>
      </c>
      <c r="BF145" s="40" t="s">
        <v>0</v>
      </c>
    </row>
    <row r="146" spans="56:58" ht="39.950000000000003" hidden="1" customHeight="1" x14ac:dyDescent="0.25">
      <c r="BD146" s="17">
        <v>144</v>
      </c>
      <c r="BE146" s="21">
        <v>72</v>
      </c>
      <c r="BF146" s="40" t="s">
        <v>0</v>
      </c>
    </row>
    <row r="147" spans="56:58" ht="39.950000000000003" hidden="1" customHeight="1" x14ac:dyDescent="0.25">
      <c r="BD147" s="17">
        <v>145</v>
      </c>
      <c r="BE147" s="21">
        <v>72.5</v>
      </c>
      <c r="BF147" s="40" t="s">
        <v>0</v>
      </c>
    </row>
    <row r="148" spans="56:58" ht="39.950000000000003" hidden="1" customHeight="1" x14ac:dyDescent="0.25">
      <c r="BD148" s="17">
        <v>146</v>
      </c>
      <c r="BE148" s="21">
        <v>73</v>
      </c>
      <c r="BF148" s="40" t="s">
        <v>0</v>
      </c>
    </row>
    <row r="149" spans="56:58" ht="39.950000000000003" hidden="1" customHeight="1" x14ac:dyDescent="0.25">
      <c r="BD149" s="17">
        <v>147</v>
      </c>
      <c r="BE149" s="21">
        <v>73.5</v>
      </c>
      <c r="BF149" s="40" t="s">
        <v>0</v>
      </c>
    </row>
    <row r="150" spans="56:58" ht="39.950000000000003" hidden="1" customHeight="1" x14ac:dyDescent="0.25">
      <c r="BD150" s="17">
        <v>148</v>
      </c>
      <c r="BE150" s="21">
        <v>74</v>
      </c>
      <c r="BF150" s="40" t="s">
        <v>0</v>
      </c>
    </row>
    <row r="151" spans="56:58" ht="39.950000000000003" hidden="1" customHeight="1" x14ac:dyDescent="0.25">
      <c r="BD151" s="17">
        <v>149</v>
      </c>
      <c r="BE151" s="21">
        <v>74.5</v>
      </c>
      <c r="BF151" s="40" t="s">
        <v>0</v>
      </c>
    </row>
    <row r="152" spans="56:58" ht="39.950000000000003" hidden="1" customHeight="1" x14ac:dyDescent="0.25">
      <c r="BD152" s="17">
        <v>150</v>
      </c>
      <c r="BE152" s="21">
        <v>75</v>
      </c>
      <c r="BF152" s="40" t="s">
        <v>0</v>
      </c>
    </row>
    <row r="153" spans="56:58" ht="39.950000000000003" hidden="1" customHeight="1" x14ac:dyDescent="0.25">
      <c r="BD153" s="17">
        <v>151</v>
      </c>
      <c r="BE153" s="21">
        <v>75.5</v>
      </c>
      <c r="BF153" s="40" t="s">
        <v>0</v>
      </c>
    </row>
    <row r="154" spans="56:58" ht="39.950000000000003" hidden="1" customHeight="1" x14ac:dyDescent="0.25">
      <c r="BD154" s="17">
        <v>152</v>
      </c>
      <c r="BE154" s="21">
        <v>76</v>
      </c>
      <c r="BF154" s="40" t="s">
        <v>0</v>
      </c>
    </row>
    <row r="155" spans="56:58" ht="39.950000000000003" hidden="1" customHeight="1" x14ac:dyDescent="0.25">
      <c r="BD155" s="17">
        <v>153</v>
      </c>
      <c r="BE155" s="21">
        <v>76.5</v>
      </c>
      <c r="BF155" s="40" t="s">
        <v>0</v>
      </c>
    </row>
    <row r="156" spans="56:58" ht="39.950000000000003" hidden="1" customHeight="1" x14ac:dyDescent="0.25">
      <c r="BD156" s="17">
        <v>154</v>
      </c>
      <c r="BE156" s="21">
        <v>77</v>
      </c>
      <c r="BF156" s="40" t="s">
        <v>0</v>
      </c>
    </row>
    <row r="157" spans="56:58" ht="39.950000000000003" hidden="1" customHeight="1" x14ac:dyDescent="0.25">
      <c r="BD157" s="17">
        <v>155</v>
      </c>
      <c r="BE157" s="21">
        <v>77.5</v>
      </c>
      <c r="BF157" s="40" t="s">
        <v>0</v>
      </c>
    </row>
    <row r="158" spans="56:58" ht="39.950000000000003" hidden="1" customHeight="1" x14ac:dyDescent="0.25">
      <c r="BD158" s="17">
        <v>156</v>
      </c>
      <c r="BE158" s="21">
        <v>78</v>
      </c>
      <c r="BF158" s="40" t="s">
        <v>0</v>
      </c>
    </row>
    <row r="159" spans="56:58" ht="39.950000000000003" hidden="1" customHeight="1" x14ac:dyDescent="0.25">
      <c r="BD159" s="17">
        <v>157</v>
      </c>
      <c r="BE159" s="21">
        <v>78.5</v>
      </c>
      <c r="BF159" s="40" t="s">
        <v>0</v>
      </c>
    </row>
    <row r="160" spans="56:58" ht="39.950000000000003" hidden="1" customHeight="1" x14ac:dyDescent="0.25">
      <c r="BD160" s="17">
        <v>158</v>
      </c>
      <c r="BE160" s="21">
        <v>79</v>
      </c>
      <c r="BF160" s="40" t="s">
        <v>0</v>
      </c>
    </row>
    <row r="161" spans="56:58" ht="39.950000000000003" hidden="1" customHeight="1" x14ac:dyDescent="0.25">
      <c r="BD161" s="17">
        <v>159</v>
      </c>
      <c r="BE161" s="21">
        <v>79.5</v>
      </c>
      <c r="BF161" s="40" t="s">
        <v>0</v>
      </c>
    </row>
    <row r="162" spans="56:58" ht="39.950000000000003" hidden="1" customHeight="1" x14ac:dyDescent="0.25">
      <c r="BD162" s="17">
        <v>160</v>
      </c>
      <c r="BE162" s="21">
        <v>80</v>
      </c>
      <c r="BF162" s="40" t="s">
        <v>0</v>
      </c>
    </row>
    <row r="163" spans="56:58" ht="39.950000000000003" hidden="1" customHeight="1" x14ac:dyDescent="0.25">
      <c r="BD163" s="17">
        <v>161</v>
      </c>
      <c r="BE163" s="21">
        <v>80.5</v>
      </c>
      <c r="BF163" s="40" t="s">
        <v>0</v>
      </c>
    </row>
    <row r="164" spans="56:58" ht="39.950000000000003" hidden="1" customHeight="1" x14ac:dyDescent="0.25">
      <c r="BD164" s="17">
        <v>162</v>
      </c>
      <c r="BE164" s="21">
        <v>81</v>
      </c>
      <c r="BF164" s="40" t="s">
        <v>0</v>
      </c>
    </row>
    <row r="165" spans="56:58" ht="39.950000000000003" hidden="1" customHeight="1" x14ac:dyDescent="0.25">
      <c r="BD165" s="17">
        <v>163</v>
      </c>
      <c r="BE165" s="21">
        <v>81.5</v>
      </c>
      <c r="BF165" s="40" t="s">
        <v>0</v>
      </c>
    </row>
    <row r="166" spans="56:58" ht="39.950000000000003" hidden="1" customHeight="1" x14ac:dyDescent="0.25">
      <c r="BD166" s="17">
        <v>164</v>
      </c>
      <c r="BE166" s="21">
        <v>82</v>
      </c>
      <c r="BF166" s="40" t="s">
        <v>0</v>
      </c>
    </row>
    <row r="167" spans="56:58" ht="39.950000000000003" hidden="1" customHeight="1" x14ac:dyDescent="0.25">
      <c r="BD167" s="17">
        <v>165</v>
      </c>
      <c r="BE167" s="21">
        <v>82.5</v>
      </c>
      <c r="BF167" s="40" t="s">
        <v>0</v>
      </c>
    </row>
    <row r="168" spans="56:58" ht="39.950000000000003" hidden="1" customHeight="1" x14ac:dyDescent="0.25">
      <c r="BD168" s="17">
        <v>166</v>
      </c>
      <c r="BE168" s="21">
        <v>83</v>
      </c>
      <c r="BF168" s="40" t="s">
        <v>0</v>
      </c>
    </row>
    <row r="169" spans="56:58" ht="39.950000000000003" hidden="1" customHeight="1" x14ac:dyDescent="0.25">
      <c r="BD169" s="17">
        <v>167</v>
      </c>
      <c r="BE169" s="21">
        <v>83.5</v>
      </c>
      <c r="BF169" s="40" t="s">
        <v>0</v>
      </c>
    </row>
    <row r="170" spans="56:58" ht="39.950000000000003" hidden="1" customHeight="1" x14ac:dyDescent="0.25">
      <c r="BD170" s="17">
        <v>168</v>
      </c>
      <c r="BE170" s="21">
        <v>84</v>
      </c>
      <c r="BF170" s="40" t="s">
        <v>0</v>
      </c>
    </row>
    <row r="171" spans="56:58" ht="39.950000000000003" hidden="1" customHeight="1" x14ac:dyDescent="0.25">
      <c r="BD171" s="17">
        <v>169</v>
      </c>
      <c r="BE171" s="21">
        <v>84.5</v>
      </c>
      <c r="BF171" s="40" t="s">
        <v>0</v>
      </c>
    </row>
    <row r="172" spans="56:58" ht="39.950000000000003" hidden="1" customHeight="1" x14ac:dyDescent="0.25">
      <c r="BD172" s="17">
        <v>170</v>
      </c>
      <c r="BE172" s="21">
        <v>85</v>
      </c>
      <c r="BF172" s="40" t="s">
        <v>0</v>
      </c>
    </row>
    <row r="173" spans="56:58" ht="39.950000000000003" hidden="1" customHeight="1" x14ac:dyDescent="0.25">
      <c r="BD173" s="17">
        <v>171</v>
      </c>
      <c r="BE173" s="21">
        <v>85.5</v>
      </c>
      <c r="BF173" s="40" t="s">
        <v>0</v>
      </c>
    </row>
    <row r="174" spans="56:58" ht="39.950000000000003" hidden="1" customHeight="1" x14ac:dyDescent="0.25">
      <c r="BD174" s="17">
        <v>172</v>
      </c>
      <c r="BE174" s="21">
        <v>86</v>
      </c>
      <c r="BF174" s="40" t="s">
        <v>0</v>
      </c>
    </row>
    <row r="175" spans="56:58" ht="39.950000000000003" hidden="1" customHeight="1" x14ac:dyDescent="0.25">
      <c r="BD175" s="17">
        <v>173</v>
      </c>
      <c r="BE175" s="21">
        <v>86.5</v>
      </c>
      <c r="BF175" s="40" t="s">
        <v>0</v>
      </c>
    </row>
    <row r="176" spans="56:58" ht="39.950000000000003" hidden="1" customHeight="1" x14ac:dyDescent="0.25">
      <c r="BD176" s="17">
        <v>174</v>
      </c>
      <c r="BE176" s="21">
        <v>87</v>
      </c>
      <c r="BF176" s="40" t="s">
        <v>0</v>
      </c>
    </row>
    <row r="177" spans="56:58" ht="39.950000000000003" hidden="1" customHeight="1" x14ac:dyDescent="0.25">
      <c r="BD177" s="17">
        <v>175</v>
      </c>
      <c r="BE177" s="21">
        <v>87.5</v>
      </c>
      <c r="BF177" s="40" t="s">
        <v>0</v>
      </c>
    </row>
    <row r="178" spans="56:58" ht="39.950000000000003" hidden="1" customHeight="1" x14ac:dyDescent="0.25">
      <c r="BD178" s="17">
        <v>176</v>
      </c>
      <c r="BE178" s="21">
        <v>88</v>
      </c>
      <c r="BF178" s="40" t="s">
        <v>0</v>
      </c>
    </row>
    <row r="179" spans="56:58" ht="39.950000000000003" hidden="1" customHeight="1" x14ac:dyDescent="0.25">
      <c r="BD179" s="17">
        <v>177</v>
      </c>
      <c r="BE179" s="21">
        <v>88.5</v>
      </c>
      <c r="BF179" s="40" t="s">
        <v>0</v>
      </c>
    </row>
    <row r="180" spans="56:58" ht="39.950000000000003" hidden="1" customHeight="1" x14ac:dyDescent="0.25">
      <c r="BD180" s="17">
        <v>178</v>
      </c>
      <c r="BE180" s="21">
        <v>89</v>
      </c>
      <c r="BF180" s="40" t="s">
        <v>0</v>
      </c>
    </row>
    <row r="181" spans="56:58" ht="39.950000000000003" hidden="1" customHeight="1" x14ac:dyDescent="0.25">
      <c r="BD181" s="17">
        <v>179</v>
      </c>
      <c r="BE181" s="21">
        <v>89.5</v>
      </c>
      <c r="BF181" s="40" t="s">
        <v>0</v>
      </c>
    </row>
    <row r="182" spans="56:58" ht="39.950000000000003" hidden="1" customHeight="1" x14ac:dyDescent="0.25">
      <c r="BD182" s="17">
        <v>180</v>
      </c>
      <c r="BE182" s="21">
        <v>90</v>
      </c>
      <c r="BF182" s="40" t="s">
        <v>0</v>
      </c>
    </row>
    <row r="183" spans="56:58" ht="39.950000000000003" hidden="1" customHeight="1" x14ac:dyDescent="0.25">
      <c r="BD183" s="17">
        <v>181</v>
      </c>
      <c r="BE183" s="21">
        <v>90.5</v>
      </c>
      <c r="BF183" s="40" t="s">
        <v>0</v>
      </c>
    </row>
    <row r="184" spans="56:58" ht="39.950000000000003" hidden="1" customHeight="1" x14ac:dyDescent="0.25">
      <c r="BD184" s="17">
        <v>182</v>
      </c>
      <c r="BE184" s="21">
        <v>91</v>
      </c>
      <c r="BF184" s="40" t="s">
        <v>0</v>
      </c>
    </row>
    <row r="185" spans="56:58" ht="39.950000000000003" hidden="1" customHeight="1" x14ac:dyDescent="0.25">
      <c r="BD185" s="17">
        <v>183</v>
      </c>
      <c r="BE185" s="21">
        <v>91.5</v>
      </c>
      <c r="BF185" s="40" t="s">
        <v>0</v>
      </c>
    </row>
    <row r="186" spans="56:58" ht="39.950000000000003" hidden="1" customHeight="1" x14ac:dyDescent="0.25">
      <c r="BD186" s="17">
        <v>184</v>
      </c>
      <c r="BE186" s="21">
        <v>92</v>
      </c>
      <c r="BF186" s="40" t="s">
        <v>0</v>
      </c>
    </row>
    <row r="187" spans="56:58" ht="39.950000000000003" hidden="1" customHeight="1" x14ac:dyDescent="0.25">
      <c r="BD187" s="17">
        <v>185</v>
      </c>
      <c r="BE187" s="21">
        <v>92.5</v>
      </c>
      <c r="BF187" s="40" t="s">
        <v>0</v>
      </c>
    </row>
    <row r="188" spans="56:58" ht="39.950000000000003" hidden="1" customHeight="1" x14ac:dyDescent="0.25">
      <c r="BD188" s="17">
        <v>186</v>
      </c>
      <c r="BE188" s="21">
        <v>93</v>
      </c>
      <c r="BF188" s="40" t="s">
        <v>0</v>
      </c>
    </row>
    <row r="189" spans="56:58" ht="39.950000000000003" hidden="1" customHeight="1" x14ac:dyDescent="0.25">
      <c r="BD189" s="17">
        <v>187</v>
      </c>
      <c r="BE189" s="21">
        <v>93.5</v>
      </c>
      <c r="BF189" s="40" t="s">
        <v>0</v>
      </c>
    </row>
    <row r="190" spans="56:58" ht="39.950000000000003" hidden="1" customHeight="1" x14ac:dyDescent="0.25">
      <c r="BD190" s="17">
        <v>188</v>
      </c>
      <c r="BE190" s="21">
        <v>94</v>
      </c>
      <c r="BF190" s="40" t="s">
        <v>0</v>
      </c>
    </row>
    <row r="191" spans="56:58" ht="39.950000000000003" hidden="1" customHeight="1" x14ac:dyDescent="0.25">
      <c r="BD191" s="17">
        <v>189</v>
      </c>
      <c r="BE191" s="21">
        <v>94.5</v>
      </c>
      <c r="BF191" s="40" t="s">
        <v>0</v>
      </c>
    </row>
    <row r="192" spans="56:58" ht="39.950000000000003" hidden="1" customHeight="1" x14ac:dyDescent="0.25">
      <c r="BD192" s="17">
        <v>190</v>
      </c>
      <c r="BE192" s="21">
        <v>95</v>
      </c>
      <c r="BF192" s="40" t="s">
        <v>0</v>
      </c>
    </row>
    <row r="193" spans="56:58" ht="39.950000000000003" hidden="1" customHeight="1" x14ac:dyDescent="0.25">
      <c r="BD193" s="17">
        <v>191</v>
      </c>
      <c r="BE193" s="21">
        <v>95.5</v>
      </c>
      <c r="BF193" s="40" t="s">
        <v>0</v>
      </c>
    </row>
    <row r="194" spans="56:58" ht="39.950000000000003" hidden="1" customHeight="1" x14ac:dyDescent="0.25">
      <c r="BD194" s="17">
        <v>192</v>
      </c>
      <c r="BE194" s="21">
        <v>96</v>
      </c>
      <c r="BF194" s="40" t="s">
        <v>0</v>
      </c>
    </row>
    <row r="195" spans="56:58" ht="39.950000000000003" hidden="1" customHeight="1" x14ac:dyDescent="0.25">
      <c r="BD195" s="17">
        <v>193</v>
      </c>
      <c r="BE195" s="21">
        <v>96.5</v>
      </c>
      <c r="BF195" s="40" t="s">
        <v>0</v>
      </c>
    </row>
    <row r="196" spans="56:58" ht="39.950000000000003" hidden="1" customHeight="1" x14ac:dyDescent="0.25">
      <c r="BD196" s="17">
        <v>194</v>
      </c>
      <c r="BE196" s="21">
        <v>97</v>
      </c>
      <c r="BF196" s="40" t="s">
        <v>0</v>
      </c>
    </row>
    <row r="197" spans="56:58" ht="39.950000000000003" hidden="1" customHeight="1" x14ac:dyDescent="0.25">
      <c r="BD197" s="17">
        <v>195</v>
      </c>
      <c r="BE197" s="21">
        <v>97.5</v>
      </c>
      <c r="BF197" s="40" t="s">
        <v>0</v>
      </c>
    </row>
    <row r="198" spans="56:58" ht="39.950000000000003" hidden="1" customHeight="1" x14ac:dyDescent="0.25">
      <c r="BD198" s="17">
        <v>196</v>
      </c>
      <c r="BE198" s="21">
        <v>98</v>
      </c>
      <c r="BF198" s="40" t="s">
        <v>0</v>
      </c>
    </row>
    <row r="199" spans="56:58" ht="39.950000000000003" hidden="1" customHeight="1" x14ac:dyDescent="0.25">
      <c r="BD199" s="17">
        <v>197</v>
      </c>
      <c r="BE199" s="21">
        <v>98.5</v>
      </c>
      <c r="BF199" s="40" t="s">
        <v>0</v>
      </c>
    </row>
    <row r="200" spans="56:58" ht="39.950000000000003" hidden="1" customHeight="1" x14ac:dyDescent="0.25">
      <c r="BD200" s="17">
        <v>198</v>
      </c>
      <c r="BE200" s="21">
        <v>99</v>
      </c>
      <c r="BF200" s="40" t="s">
        <v>0</v>
      </c>
    </row>
    <row r="201" spans="56:58" ht="39.950000000000003" hidden="1" customHeight="1" x14ac:dyDescent="0.25">
      <c r="BD201" s="17">
        <v>199</v>
      </c>
      <c r="BE201" s="21">
        <v>99.5</v>
      </c>
      <c r="BF201" s="40" t="s">
        <v>0</v>
      </c>
    </row>
    <row r="202" spans="56:58" ht="39.950000000000003" hidden="1" customHeight="1" x14ac:dyDescent="0.25">
      <c r="BD202" s="17">
        <v>200</v>
      </c>
      <c r="BE202" s="21">
        <v>100</v>
      </c>
      <c r="BF202" s="40" t="s">
        <v>0</v>
      </c>
    </row>
    <row r="203" spans="56:58" ht="39.950000000000003" hidden="1" customHeight="1" x14ac:dyDescent="0.25">
      <c r="BD203" s="17">
        <v>201</v>
      </c>
      <c r="BE203" s="21">
        <v>100.5</v>
      </c>
      <c r="BF203" s="40" t="s">
        <v>0</v>
      </c>
    </row>
    <row r="204" spans="56:58" ht="39.950000000000003" hidden="1" customHeight="1" x14ac:dyDescent="0.25">
      <c r="BD204" s="17">
        <v>202</v>
      </c>
      <c r="BE204" s="21">
        <v>101</v>
      </c>
      <c r="BF204" s="40" t="s">
        <v>0</v>
      </c>
    </row>
    <row r="205" spans="56:58" ht="39.950000000000003" hidden="1" customHeight="1" x14ac:dyDescent="0.25">
      <c r="BD205" s="17">
        <v>203</v>
      </c>
      <c r="BE205" s="21">
        <v>101.5</v>
      </c>
      <c r="BF205" s="40" t="s">
        <v>0</v>
      </c>
    </row>
    <row r="206" spans="56:58" ht="39.950000000000003" hidden="1" customHeight="1" x14ac:dyDescent="0.25">
      <c r="BD206" s="17">
        <v>204</v>
      </c>
      <c r="BE206" s="21">
        <v>102</v>
      </c>
      <c r="BF206" s="40" t="s">
        <v>0</v>
      </c>
    </row>
    <row r="207" spans="56:58" ht="39.950000000000003" hidden="1" customHeight="1" x14ac:dyDescent="0.25">
      <c r="BD207" s="17">
        <v>205</v>
      </c>
      <c r="BE207" s="21">
        <v>102.5</v>
      </c>
      <c r="BF207" s="40" t="s">
        <v>0</v>
      </c>
    </row>
    <row r="208" spans="56:58" ht="39.950000000000003" hidden="1" customHeight="1" x14ac:dyDescent="0.25">
      <c r="BD208" s="17">
        <v>206</v>
      </c>
      <c r="BE208" s="21">
        <v>103</v>
      </c>
      <c r="BF208" s="40" t="s">
        <v>0</v>
      </c>
    </row>
    <row r="209" spans="56:58" ht="39.950000000000003" hidden="1" customHeight="1" x14ac:dyDescent="0.25">
      <c r="BD209" s="17">
        <v>207</v>
      </c>
      <c r="BE209" s="21">
        <v>103.5</v>
      </c>
      <c r="BF209" s="40" t="s">
        <v>0</v>
      </c>
    </row>
    <row r="210" spans="56:58" ht="39.950000000000003" hidden="1" customHeight="1" x14ac:dyDescent="0.25">
      <c r="BD210" s="17">
        <v>208</v>
      </c>
      <c r="BE210" s="21">
        <v>104</v>
      </c>
      <c r="BF210" s="40" t="s">
        <v>0</v>
      </c>
    </row>
    <row r="211" spans="56:58" ht="39.950000000000003" hidden="1" customHeight="1" x14ac:dyDescent="0.25">
      <c r="BD211" s="17">
        <v>209</v>
      </c>
      <c r="BE211" s="21">
        <v>104.5</v>
      </c>
      <c r="BF211" s="40" t="s">
        <v>0</v>
      </c>
    </row>
    <row r="212" spans="56:58" ht="39.950000000000003" hidden="1" customHeight="1" x14ac:dyDescent="0.25">
      <c r="BD212" s="17">
        <v>210</v>
      </c>
      <c r="BE212" s="21">
        <v>105</v>
      </c>
      <c r="BF212" s="40" t="s">
        <v>0</v>
      </c>
    </row>
    <row r="213" spans="56:58" ht="39.950000000000003" hidden="1" customHeight="1" x14ac:dyDescent="0.25">
      <c r="BD213" s="17">
        <v>211</v>
      </c>
      <c r="BE213" s="21">
        <v>105.5</v>
      </c>
      <c r="BF213" s="40" t="s">
        <v>0</v>
      </c>
    </row>
    <row r="214" spans="56:58" ht="39.950000000000003" hidden="1" customHeight="1" x14ac:dyDescent="0.25">
      <c r="BD214" s="17">
        <v>212</v>
      </c>
      <c r="BE214" s="21">
        <v>106</v>
      </c>
      <c r="BF214" s="40" t="s">
        <v>0</v>
      </c>
    </row>
    <row r="215" spans="56:58" ht="39.950000000000003" hidden="1" customHeight="1" x14ac:dyDescent="0.25">
      <c r="BD215" s="17">
        <v>213</v>
      </c>
      <c r="BE215" s="21">
        <v>106.5</v>
      </c>
      <c r="BF215" s="40" t="s">
        <v>0</v>
      </c>
    </row>
    <row r="216" spans="56:58" ht="39.950000000000003" hidden="1" customHeight="1" x14ac:dyDescent="0.25">
      <c r="BD216" s="17">
        <v>214</v>
      </c>
      <c r="BE216" s="21">
        <v>107</v>
      </c>
      <c r="BF216" s="40" t="s">
        <v>0</v>
      </c>
    </row>
    <row r="217" spans="56:58" ht="39.950000000000003" hidden="1" customHeight="1" x14ac:dyDescent="0.25">
      <c r="BD217" s="17">
        <v>215</v>
      </c>
      <c r="BE217" s="21">
        <v>107.5</v>
      </c>
      <c r="BF217" s="40" t="s">
        <v>0</v>
      </c>
    </row>
    <row r="218" spans="56:58" ht="39.950000000000003" hidden="1" customHeight="1" x14ac:dyDescent="0.25">
      <c r="BD218" s="17">
        <v>216</v>
      </c>
      <c r="BE218" s="21">
        <v>108</v>
      </c>
      <c r="BF218" s="40" t="s">
        <v>0</v>
      </c>
    </row>
    <row r="219" spans="56:58" ht="39.950000000000003" hidden="1" customHeight="1" x14ac:dyDescent="0.25">
      <c r="BD219" s="17">
        <v>217</v>
      </c>
      <c r="BE219" s="21">
        <v>108.5</v>
      </c>
      <c r="BF219" s="40" t="s">
        <v>0</v>
      </c>
    </row>
    <row r="220" spans="56:58" ht="39.950000000000003" hidden="1" customHeight="1" x14ac:dyDescent="0.25">
      <c r="BD220" s="17">
        <v>218</v>
      </c>
      <c r="BE220" s="21">
        <v>109</v>
      </c>
      <c r="BF220" s="40" t="s">
        <v>0</v>
      </c>
    </row>
    <row r="221" spans="56:58" ht="39.950000000000003" hidden="1" customHeight="1" x14ac:dyDescent="0.25">
      <c r="BD221" s="17">
        <v>219</v>
      </c>
      <c r="BE221" s="21">
        <v>109.5</v>
      </c>
      <c r="BF221" s="40" t="s">
        <v>0</v>
      </c>
    </row>
    <row r="222" spans="56:58" ht="39.950000000000003" hidden="1" customHeight="1" x14ac:dyDescent="0.25">
      <c r="BD222" s="17">
        <v>220</v>
      </c>
      <c r="BE222" s="21">
        <v>110</v>
      </c>
      <c r="BF222" s="40" t="s">
        <v>0</v>
      </c>
    </row>
    <row r="223" spans="56:58" ht="39.950000000000003" hidden="1" customHeight="1" x14ac:dyDescent="0.25">
      <c r="BD223" s="17">
        <v>221</v>
      </c>
      <c r="BE223" s="21">
        <v>110.5</v>
      </c>
      <c r="BF223" s="40" t="s">
        <v>0</v>
      </c>
    </row>
    <row r="224" spans="56:58" ht="39.950000000000003" hidden="1" customHeight="1" x14ac:dyDescent="0.25">
      <c r="BD224" s="17">
        <v>222</v>
      </c>
      <c r="BE224" s="21">
        <v>111</v>
      </c>
      <c r="BF224" s="40" t="s">
        <v>0</v>
      </c>
    </row>
    <row r="225" spans="56:58" ht="39.950000000000003" hidden="1" customHeight="1" x14ac:dyDescent="0.25">
      <c r="BD225" s="17">
        <v>223</v>
      </c>
      <c r="BE225" s="21">
        <v>111.5</v>
      </c>
      <c r="BF225" s="40" t="s">
        <v>0</v>
      </c>
    </row>
    <row r="226" spans="56:58" ht="39.950000000000003" hidden="1" customHeight="1" x14ac:dyDescent="0.25">
      <c r="BD226" s="17">
        <v>224</v>
      </c>
      <c r="BE226" s="21">
        <v>112</v>
      </c>
      <c r="BF226" s="40" t="s">
        <v>0</v>
      </c>
    </row>
    <row r="227" spans="56:58" ht="39.950000000000003" hidden="1" customHeight="1" x14ac:dyDescent="0.25">
      <c r="BD227" s="17">
        <v>225</v>
      </c>
      <c r="BE227" s="21">
        <v>112.5</v>
      </c>
      <c r="BF227" s="40" t="s">
        <v>0</v>
      </c>
    </row>
    <row r="228" spans="56:58" ht="39.950000000000003" hidden="1" customHeight="1" x14ac:dyDescent="0.25">
      <c r="BD228" s="17">
        <v>226</v>
      </c>
      <c r="BE228" s="21">
        <v>113</v>
      </c>
      <c r="BF228" s="40" t="s">
        <v>0</v>
      </c>
    </row>
    <row r="229" spans="56:58" ht="39.950000000000003" hidden="1" customHeight="1" x14ac:dyDescent="0.25">
      <c r="BD229" s="17">
        <v>227</v>
      </c>
      <c r="BE229" s="21">
        <v>113.5</v>
      </c>
      <c r="BF229" s="40" t="s">
        <v>0</v>
      </c>
    </row>
    <row r="230" spans="56:58" ht="39.950000000000003" hidden="1" customHeight="1" x14ac:dyDescent="0.25">
      <c r="BD230" s="17">
        <v>228</v>
      </c>
      <c r="BE230" s="21">
        <v>114</v>
      </c>
      <c r="BF230" s="40" t="s">
        <v>0</v>
      </c>
    </row>
    <row r="231" spans="56:58" ht="39.950000000000003" hidden="1" customHeight="1" x14ac:dyDescent="0.25">
      <c r="BD231" s="17">
        <v>229</v>
      </c>
      <c r="BE231" s="21">
        <v>114.5</v>
      </c>
      <c r="BF231" s="40" t="s">
        <v>0</v>
      </c>
    </row>
    <row r="232" spans="56:58" ht="39.950000000000003" hidden="1" customHeight="1" x14ac:dyDescent="0.25">
      <c r="BD232" s="17">
        <v>230</v>
      </c>
      <c r="BE232" s="21">
        <v>115</v>
      </c>
      <c r="BF232" s="40" t="s">
        <v>0</v>
      </c>
    </row>
    <row r="233" spans="56:58" ht="39.950000000000003" hidden="1" customHeight="1" x14ac:dyDescent="0.25">
      <c r="BD233" s="17">
        <v>231</v>
      </c>
      <c r="BE233" s="21">
        <v>115.5</v>
      </c>
      <c r="BF233" s="40" t="s">
        <v>0</v>
      </c>
    </row>
    <row r="234" spans="56:58" ht="39.950000000000003" hidden="1" customHeight="1" x14ac:dyDescent="0.25">
      <c r="BD234" s="17">
        <v>232</v>
      </c>
      <c r="BE234" s="21">
        <v>116</v>
      </c>
      <c r="BF234" s="40" t="s">
        <v>0</v>
      </c>
    </row>
    <row r="235" spans="56:58" ht="39.950000000000003" hidden="1" customHeight="1" x14ac:dyDescent="0.25">
      <c r="BD235" s="17">
        <v>233</v>
      </c>
      <c r="BE235" s="21">
        <v>116.5</v>
      </c>
      <c r="BF235" s="40" t="s">
        <v>0</v>
      </c>
    </row>
    <row r="236" spans="56:58" ht="39.950000000000003" hidden="1" customHeight="1" x14ac:dyDescent="0.25">
      <c r="BD236" s="17">
        <v>234</v>
      </c>
      <c r="BE236" s="21">
        <v>117</v>
      </c>
      <c r="BF236" s="40" t="s">
        <v>0</v>
      </c>
    </row>
    <row r="237" spans="56:58" ht="39.950000000000003" hidden="1" customHeight="1" x14ac:dyDescent="0.25">
      <c r="BD237" s="17">
        <v>235</v>
      </c>
      <c r="BE237" s="21">
        <v>117.5</v>
      </c>
      <c r="BF237" s="40" t="s">
        <v>0</v>
      </c>
    </row>
    <row r="238" spans="56:58" ht="39.950000000000003" hidden="1" customHeight="1" x14ac:dyDescent="0.25">
      <c r="BD238" s="17">
        <v>236</v>
      </c>
      <c r="BE238" s="21">
        <v>118</v>
      </c>
      <c r="BF238" s="40" t="s">
        <v>0</v>
      </c>
    </row>
    <row r="239" spans="56:58" ht="39.950000000000003" hidden="1" customHeight="1" x14ac:dyDescent="0.25">
      <c r="BD239" s="17">
        <v>237</v>
      </c>
      <c r="BE239" s="21">
        <v>118.5</v>
      </c>
      <c r="BF239" s="40" t="s">
        <v>0</v>
      </c>
    </row>
    <row r="240" spans="56:58" ht="39.950000000000003" hidden="1" customHeight="1" x14ac:dyDescent="0.25">
      <c r="BD240" s="17">
        <v>238</v>
      </c>
      <c r="BE240" s="21">
        <v>119</v>
      </c>
      <c r="BF240" s="40" t="s">
        <v>0</v>
      </c>
    </row>
    <row r="241" spans="1:58" ht="39.950000000000003" hidden="1" customHeight="1" x14ac:dyDescent="0.25">
      <c r="BD241" s="17">
        <v>239</v>
      </c>
      <c r="BE241" s="21">
        <v>119.5</v>
      </c>
      <c r="BF241" s="40" t="s">
        <v>0</v>
      </c>
    </row>
    <row r="242" spans="1:58" ht="39.950000000000003" hidden="1" customHeight="1" x14ac:dyDescent="0.25">
      <c r="BD242" s="17">
        <v>240</v>
      </c>
      <c r="BE242" s="21">
        <v>120</v>
      </c>
      <c r="BF242" s="40" t="s">
        <v>0</v>
      </c>
    </row>
    <row r="243" spans="1:58" ht="39.950000000000003" hidden="1" customHeight="1" x14ac:dyDescent="0.25">
      <c r="BD243" s="17">
        <v>241</v>
      </c>
      <c r="BE243" s="21">
        <v>120.5</v>
      </c>
      <c r="BF243" s="40" t="s">
        <v>0</v>
      </c>
    </row>
    <row r="244" spans="1:58" ht="39.950000000000003" hidden="1" customHeight="1" x14ac:dyDescent="0.25">
      <c r="BD244" s="17">
        <v>242</v>
      </c>
      <c r="BE244" s="21">
        <v>121</v>
      </c>
      <c r="BF244" s="40" t="s">
        <v>0</v>
      </c>
    </row>
    <row r="245" spans="1:58" ht="39.950000000000003" hidden="1" customHeight="1" x14ac:dyDescent="0.25">
      <c r="BD245" s="17">
        <v>243</v>
      </c>
      <c r="BE245" s="21">
        <v>121.5</v>
      </c>
      <c r="BF245" s="40" t="s">
        <v>0</v>
      </c>
    </row>
    <row r="246" spans="1:58" ht="39.950000000000003" hidden="1" customHeight="1" x14ac:dyDescent="0.25">
      <c r="BD246" s="17">
        <v>244</v>
      </c>
      <c r="BE246" s="21">
        <v>122</v>
      </c>
      <c r="BF246" s="40" t="s">
        <v>0</v>
      </c>
    </row>
    <row r="247" spans="1:58" ht="39.950000000000003" hidden="1" customHeight="1" x14ac:dyDescent="0.25">
      <c r="BD247" s="17">
        <v>245</v>
      </c>
      <c r="BE247" s="21">
        <v>122.5</v>
      </c>
      <c r="BF247" s="40" t="s">
        <v>0</v>
      </c>
    </row>
    <row r="248" spans="1:58" ht="39.950000000000003" hidden="1" customHeight="1" x14ac:dyDescent="0.25">
      <c r="BD248" s="17">
        <v>246</v>
      </c>
      <c r="BE248" s="21">
        <v>123</v>
      </c>
      <c r="BF248" s="40" t="s">
        <v>0</v>
      </c>
    </row>
    <row r="249" spans="1:58" ht="39.950000000000003" hidden="1" customHeight="1" x14ac:dyDescent="0.25">
      <c r="BD249" s="17">
        <v>247</v>
      </c>
      <c r="BE249" s="21">
        <v>123.5</v>
      </c>
      <c r="BF249" s="40" t="s">
        <v>0</v>
      </c>
    </row>
    <row r="250" spans="1:58" ht="39.950000000000003" hidden="1" customHeight="1" x14ac:dyDescent="0.25">
      <c r="BD250" s="17">
        <v>248</v>
      </c>
      <c r="BE250" s="21">
        <v>124</v>
      </c>
      <c r="BF250" s="40" t="s">
        <v>0</v>
      </c>
    </row>
    <row r="251" spans="1:58" ht="39.950000000000003" hidden="1" customHeight="1" x14ac:dyDescent="0.25">
      <c r="BD251" s="17">
        <v>249</v>
      </c>
      <c r="BE251" s="21">
        <v>124.5</v>
      </c>
      <c r="BF251" s="40" t="s">
        <v>0</v>
      </c>
    </row>
    <row r="252" spans="1:58" ht="39.950000000000003" hidden="1" customHeight="1" x14ac:dyDescent="0.25">
      <c r="BD252" s="17">
        <v>250</v>
      </c>
      <c r="BE252" s="21">
        <v>125</v>
      </c>
      <c r="BF252" s="40" t="s">
        <v>0</v>
      </c>
    </row>
    <row r="253" spans="1:58" ht="39.950000000000003" hidden="1" customHeight="1" x14ac:dyDescent="0.25">
      <c r="BD253" s="17">
        <v>251</v>
      </c>
      <c r="BE253" s="21">
        <v>125.5</v>
      </c>
      <c r="BF253" s="40" t="s">
        <v>0</v>
      </c>
    </row>
    <row r="254" spans="1:58" s="16" customFormat="1" ht="39.950000000000003" hidden="1" customHeight="1" x14ac:dyDescent="0.25">
      <c r="A254" s="2"/>
      <c r="B254" s="2"/>
      <c r="C254" s="2"/>
      <c r="D254" s="2"/>
      <c r="E254" s="2"/>
      <c r="F254" s="2"/>
      <c r="G254" s="2"/>
      <c r="H254" s="2"/>
      <c r="I254" s="2"/>
      <c r="J254" s="2"/>
      <c r="K254" s="2"/>
      <c r="L254" s="2"/>
      <c r="M254" s="2"/>
      <c r="N254" s="2"/>
      <c r="O254" s="2"/>
      <c r="P254" s="2"/>
      <c r="Q254" s="2"/>
      <c r="R254" s="2"/>
      <c r="S254" s="2"/>
      <c r="T254" s="2"/>
      <c r="U254" s="2"/>
      <c r="V254" s="2"/>
      <c r="W254" s="2"/>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v>252</v>
      </c>
      <c r="BE254" s="21">
        <v>126</v>
      </c>
      <c r="BF254" s="40" t="s">
        <v>0</v>
      </c>
    </row>
    <row r="255" spans="1:58" s="16" customFormat="1" ht="39.950000000000003" hidden="1" customHeight="1" x14ac:dyDescent="0.25">
      <c r="A255" s="2"/>
      <c r="B255" s="2"/>
      <c r="C255" s="2"/>
      <c r="D255" s="2"/>
      <c r="E255" s="2"/>
      <c r="F255" s="2"/>
      <c r="G255" s="2"/>
      <c r="H255" s="2"/>
      <c r="I255" s="2"/>
      <c r="J255" s="2"/>
      <c r="K255" s="2"/>
      <c r="L255" s="2"/>
      <c r="M255" s="2"/>
      <c r="N255" s="2"/>
      <c r="O255" s="2"/>
      <c r="P255" s="2"/>
      <c r="Q255" s="2"/>
      <c r="R255" s="2"/>
      <c r="S255" s="2"/>
      <c r="T255" s="2"/>
      <c r="U255" s="2"/>
      <c r="V255" s="2"/>
      <c r="W255" s="2"/>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v>253</v>
      </c>
      <c r="BE255" s="21">
        <v>126.5</v>
      </c>
      <c r="BF255" s="40" t="s">
        <v>0</v>
      </c>
    </row>
    <row r="256" spans="1:58" s="16" customFormat="1" ht="39.950000000000003" hidden="1" customHeight="1" x14ac:dyDescent="0.25">
      <c r="A256" s="2"/>
      <c r="B256" s="2"/>
      <c r="C256" s="2"/>
      <c r="D256" s="2"/>
      <c r="E256" s="2"/>
      <c r="F256" s="2"/>
      <c r="G256" s="2"/>
      <c r="H256" s="2"/>
      <c r="I256" s="2"/>
      <c r="J256" s="2"/>
      <c r="K256" s="2"/>
      <c r="L256" s="2"/>
      <c r="M256" s="2"/>
      <c r="N256" s="2"/>
      <c r="O256" s="2"/>
      <c r="P256" s="2"/>
      <c r="Q256" s="2"/>
      <c r="R256" s="2"/>
      <c r="S256" s="2"/>
      <c r="T256" s="2"/>
      <c r="U256" s="2"/>
      <c r="V256" s="2"/>
      <c r="W256" s="2"/>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v>254</v>
      </c>
      <c r="BE256" s="21">
        <v>127</v>
      </c>
      <c r="BF256" s="40" t="s">
        <v>0</v>
      </c>
    </row>
    <row r="257" spans="1:58" s="16" customFormat="1" ht="39.950000000000003" hidden="1" customHeight="1" x14ac:dyDescent="0.25">
      <c r="A257" s="2"/>
      <c r="B257" s="2"/>
      <c r="C257" s="2"/>
      <c r="D257" s="2"/>
      <c r="E257" s="2"/>
      <c r="F257" s="2"/>
      <c r="G257" s="2"/>
      <c r="H257" s="2"/>
      <c r="I257" s="2"/>
      <c r="J257" s="2"/>
      <c r="K257" s="2"/>
      <c r="L257" s="2"/>
      <c r="M257" s="2"/>
      <c r="N257" s="2"/>
      <c r="O257" s="2"/>
      <c r="P257" s="2"/>
      <c r="Q257" s="2"/>
      <c r="R257" s="2"/>
      <c r="S257" s="2"/>
      <c r="T257" s="2"/>
      <c r="U257" s="2"/>
      <c r="V257" s="2"/>
      <c r="W257" s="2"/>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v>255</v>
      </c>
      <c r="BE257" s="21">
        <v>127.5</v>
      </c>
      <c r="BF257" s="40" t="s">
        <v>0</v>
      </c>
    </row>
    <row r="258" spans="1:58" s="16" customFormat="1" ht="39.950000000000003" hidden="1" customHeight="1" x14ac:dyDescent="0.25">
      <c r="A258" s="2"/>
      <c r="B258" s="2"/>
      <c r="C258" s="2"/>
      <c r="D258" s="2"/>
      <c r="E258" s="2"/>
      <c r="F258" s="2"/>
      <c r="G258" s="2"/>
      <c r="H258" s="2"/>
      <c r="I258" s="2"/>
      <c r="J258" s="2"/>
      <c r="K258" s="2"/>
      <c r="L258" s="2"/>
      <c r="M258" s="2"/>
      <c r="N258" s="2"/>
      <c r="O258" s="2"/>
      <c r="P258" s="2"/>
      <c r="Q258" s="2"/>
      <c r="R258" s="2"/>
      <c r="S258" s="2"/>
      <c r="T258" s="2"/>
      <c r="U258" s="2"/>
      <c r="V258" s="2"/>
      <c r="W258" s="2"/>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v>256</v>
      </c>
      <c r="BE258" s="21">
        <v>128</v>
      </c>
      <c r="BF258" s="40" t="s">
        <v>0</v>
      </c>
    </row>
    <row r="259" spans="1:58" s="16" customFormat="1" ht="39.950000000000003" hidden="1" customHeight="1" x14ac:dyDescent="0.25">
      <c r="A259" s="2"/>
      <c r="B259" s="2"/>
      <c r="C259" s="2"/>
      <c r="D259" s="2"/>
      <c r="E259" s="2"/>
      <c r="F259" s="2"/>
      <c r="G259" s="2"/>
      <c r="H259" s="2"/>
      <c r="I259" s="2"/>
      <c r="J259" s="2"/>
      <c r="K259" s="2"/>
      <c r="L259" s="2"/>
      <c r="M259" s="2"/>
      <c r="N259" s="2"/>
      <c r="O259" s="2"/>
      <c r="P259" s="2"/>
      <c r="Q259" s="2"/>
      <c r="R259" s="2"/>
      <c r="S259" s="2"/>
      <c r="T259" s="2"/>
      <c r="U259" s="2"/>
      <c r="V259" s="2"/>
      <c r="W259" s="2"/>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v>257</v>
      </c>
      <c r="BE259" s="21">
        <v>128.5</v>
      </c>
      <c r="BF259" s="40" t="s">
        <v>0</v>
      </c>
    </row>
    <row r="260" spans="1:58" s="16" customFormat="1" ht="39.950000000000003" hidden="1" customHeight="1" x14ac:dyDescent="0.25">
      <c r="A260" s="2"/>
      <c r="B260" s="2"/>
      <c r="C260" s="2"/>
      <c r="D260" s="2"/>
      <c r="E260" s="2"/>
      <c r="F260" s="2"/>
      <c r="G260" s="2"/>
      <c r="H260" s="2"/>
      <c r="I260" s="2"/>
      <c r="J260" s="2"/>
      <c r="K260" s="2"/>
      <c r="L260" s="2"/>
      <c r="M260" s="2"/>
      <c r="N260" s="2"/>
      <c r="O260" s="2"/>
      <c r="P260" s="2"/>
      <c r="Q260" s="2"/>
      <c r="R260" s="2"/>
      <c r="S260" s="2"/>
      <c r="T260" s="2"/>
      <c r="U260" s="2"/>
      <c r="V260" s="2"/>
      <c r="W260" s="2"/>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v>258</v>
      </c>
      <c r="BE260" s="21">
        <v>129</v>
      </c>
      <c r="BF260" s="40" t="s">
        <v>0</v>
      </c>
    </row>
    <row r="261" spans="1:58" s="16" customFormat="1" ht="39.950000000000003" hidden="1" customHeight="1" x14ac:dyDescent="0.25">
      <c r="A261" s="2"/>
      <c r="B261" s="2"/>
      <c r="C261" s="2"/>
      <c r="D261" s="2"/>
      <c r="E261" s="2"/>
      <c r="F261" s="2"/>
      <c r="G261" s="2"/>
      <c r="H261" s="2"/>
      <c r="I261" s="2"/>
      <c r="J261" s="2"/>
      <c r="K261" s="2"/>
      <c r="L261" s="2"/>
      <c r="M261" s="2"/>
      <c r="N261" s="2"/>
      <c r="O261" s="2"/>
      <c r="P261" s="2"/>
      <c r="Q261" s="2"/>
      <c r="R261" s="2"/>
      <c r="S261" s="2"/>
      <c r="T261" s="2"/>
      <c r="U261" s="2"/>
      <c r="V261" s="2"/>
      <c r="W261" s="2"/>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v>259</v>
      </c>
      <c r="BE261" s="21">
        <v>129.5</v>
      </c>
      <c r="BF261" s="40" t="s">
        <v>0</v>
      </c>
    </row>
    <row r="262" spans="1:58" s="16" customFormat="1" ht="39.950000000000003" hidden="1" customHeight="1" x14ac:dyDescent="0.25">
      <c r="A262" s="2"/>
      <c r="B262" s="2"/>
      <c r="C262" s="2"/>
      <c r="D262" s="2"/>
      <c r="E262" s="2"/>
      <c r="F262" s="2"/>
      <c r="G262" s="2"/>
      <c r="H262" s="2"/>
      <c r="I262" s="2"/>
      <c r="J262" s="2"/>
      <c r="K262" s="2"/>
      <c r="L262" s="2"/>
      <c r="M262" s="2"/>
      <c r="N262" s="2"/>
      <c r="O262" s="2"/>
      <c r="P262" s="2"/>
      <c r="Q262" s="2"/>
      <c r="R262" s="2"/>
      <c r="S262" s="2"/>
      <c r="T262" s="2"/>
      <c r="U262" s="2"/>
      <c r="V262" s="2"/>
      <c r="W262" s="2"/>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v>260</v>
      </c>
      <c r="BE262" s="21">
        <v>130</v>
      </c>
      <c r="BF262" s="40" t="s">
        <v>0</v>
      </c>
    </row>
    <row r="263" spans="1:58" s="16" customFormat="1" ht="39.950000000000003" hidden="1" customHeight="1" x14ac:dyDescent="0.25">
      <c r="A263" s="2"/>
      <c r="B263" s="2"/>
      <c r="C263" s="2"/>
      <c r="D263" s="2"/>
      <c r="E263" s="2"/>
      <c r="F263" s="2"/>
      <c r="G263" s="2"/>
      <c r="H263" s="2"/>
      <c r="I263" s="2"/>
      <c r="J263" s="2"/>
      <c r="K263" s="2"/>
      <c r="L263" s="2"/>
      <c r="M263" s="2"/>
      <c r="N263" s="2"/>
      <c r="O263" s="2"/>
      <c r="P263" s="2"/>
      <c r="Q263" s="2"/>
      <c r="R263" s="2"/>
      <c r="S263" s="2"/>
      <c r="T263" s="2"/>
      <c r="U263" s="2"/>
      <c r="V263" s="2"/>
      <c r="W263" s="2"/>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v>261</v>
      </c>
      <c r="BE263" s="21">
        <v>130.5</v>
      </c>
      <c r="BF263" s="40" t="s">
        <v>0</v>
      </c>
    </row>
    <row r="264" spans="1:58" s="16" customFormat="1" ht="39.950000000000003" hidden="1" customHeight="1" x14ac:dyDescent="0.25">
      <c r="A264" s="2"/>
      <c r="B264" s="2"/>
      <c r="C264" s="2"/>
      <c r="D264" s="2"/>
      <c r="E264" s="2"/>
      <c r="F264" s="2"/>
      <c r="G264" s="2"/>
      <c r="H264" s="2"/>
      <c r="I264" s="2"/>
      <c r="J264" s="2"/>
      <c r="K264" s="2"/>
      <c r="L264" s="2"/>
      <c r="M264" s="2"/>
      <c r="N264" s="2"/>
      <c r="O264" s="2"/>
      <c r="P264" s="2"/>
      <c r="Q264" s="2"/>
      <c r="R264" s="2"/>
      <c r="S264" s="2"/>
      <c r="T264" s="2"/>
      <c r="U264" s="2"/>
      <c r="V264" s="2"/>
      <c r="W264" s="2"/>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v>262</v>
      </c>
      <c r="BE264" s="21">
        <v>131</v>
      </c>
      <c r="BF264" s="40" t="s">
        <v>0</v>
      </c>
    </row>
    <row r="265" spans="1:58" s="16" customFormat="1" ht="39.950000000000003" hidden="1" customHeight="1" x14ac:dyDescent="0.25">
      <c r="A265" s="2"/>
      <c r="B265" s="2"/>
      <c r="C265" s="2"/>
      <c r="D265" s="2"/>
      <c r="E265" s="2"/>
      <c r="F265" s="2"/>
      <c r="G265" s="2"/>
      <c r="H265" s="2"/>
      <c r="I265" s="2"/>
      <c r="J265" s="2"/>
      <c r="K265" s="2"/>
      <c r="L265" s="2"/>
      <c r="M265" s="2"/>
      <c r="N265" s="2"/>
      <c r="O265" s="2"/>
      <c r="P265" s="2"/>
      <c r="Q265" s="2"/>
      <c r="R265" s="2"/>
      <c r="S265" s="2"/>
      <c r="T265" s="2"/>
      <c r="U265" s="2"/>
      <c r="V265" s="2"/>
      <c r="W265" s="2"/>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v>263</v>
      </c>
      <c r="BE265" s="21">
        <v>131.5</v>
      </c>
      <c r="BF265" s="40" t="s">
        <v>0</v>
      </c>
    </row>
    <row r="266" spans="1:58" s="16" customFormat="1" ht="39.950000000000003" hidden="1" customHeight="1" x14ac:dyDescent="0.25">
      <c r="A266" s="2"/>
      <c r="B266" s="2"/>
      <c r="C266" s="2"/>
      <c r="D266" s="2"/>
      <c r="E266" s="2"/>
      <c r="F266" s="2"/>
      <c r="G266" s="2"/>
      <c r="H266" s="2"/>
      <c r="I266" s="2"/>
      <c r="J266" s="2"/>
      <c r="K266" s="2"/>
      <c r="L266" s="2"/>
      <c r="M266" s="2"/>
      <c r="N266" s="2"/>
      <c r="O266" s="2"/>
      <c r="P266" s="2"/>
      <c r="Q266" s="2"/>
      <c r="R266" s="2"/>
      <c r="S266" s="2"/>
      <c r="T266" s="2"/>
      <c r="U266" s="2"/>
      <c r="V266" s="2"/>
      <c r="W266" s="2"/>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v>264</v>
      </c>
      <c r="BE266" s="21">
        <v>132</v>
      </c>
      <c r="BF266" s="40" t="s">
        <v>0</v>
      </c>
    </row>
    <row r="267" spans="1:58" s="16" customFormat="1" ht="39.950000000000003" hidden="1" customHeight="1" x14ac:dyDescent="0.25">
      <c r="A267" s="2"/>
      <c r="B267" s="2"/>
      <c r="C267" s="2"/>
      <c r="D267" s="2"/>
      <c r="E267" s="2"/>
      <c r="F267" s="2"/>
      <c r="G267" s="2"/>
      <c r="H267" s="2"/>
      <c r="I267" s="2"/>
      <c r="J267" s="2"/>
      <c r="K267" s="2"/>
      <c r="L267" s="2"/>
      <c r="M267" s="2"/>
      <c r="N267" s="2"/>
      <c r="O267" s="2"/>
      <c r="P267" s="2"/>
      <c r="Q267" s="2"/>
      <c r="R267" s="2"/>
      <c r="S267" s="2"/>
      <c r="T267" s="2"/>
      <c r="U267" s="2"/>
      <c r="V267" s="2"/>
      <c r="W267" s="2"/>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v>265</v>
      </c>
      <c r="BE267" s="21">
        <v>132.5</v>
      </c>
      <c r="BF267" s="40" t="s">
        <v>0</v>
      </c>
    </row>
    <row r="268" spans="1:58" s="16" customFormat="1" ht="39.950000000000003" hidden="1" customHeight="1" x14ac:dyDescent="0.25">
      <c r="A268" s="2"/>
      <c r="B268" s="2"/>
      <c r="C268" s="2"/>
      <c r="D268" s="2"/>
      <c r="E268" s="2"/>
      <c r="F268" s="2"/>
      <c r="G268" s="2"/>
      <c r="H268" s="2"/>
      <c r="I268" s="2"/>
      <c r="J268" s="2"/>
      <c r="K268" s="2"/>
      <c r="L268" s="2"/>
      <c r="M268" s="2"/>
      <c r="N268" s="2"/>
      <c r="O268" s="2"/>
      <c r="P268" s="2"/>
      <c r="Q268" s="2"/>
      <c r="R268" s="2"/>
      <c r="S268" s="2"/>
      <c r="T268" s="2"/>
      <c r="U268" s="2"/>
      <c r="V268" s="2"/>
      <c r="W268" s="2"/>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v>266</v>
      </c>
      <c r="BE268" s="21">
        <v>133</v>
      </c>
      <c r="BF268" s="40" t="s">
        <v>0</v>
      </c>
    </row>
    <row r="269" spans="1:58" s="16" customFormat="1" ht="39.950000000000003" hidden="1" customHeight="1" x14ac:dyDescent="0.25">
      <c r="A269" s="2"/>
      <c r="B269" s="2"/>
      <c r="C269" s="2"/>
      <c r="D269" s="2"/>
      <c r="E269" s="2"/>
      <c r="F269" s="2"/>
      <c r="G269" s="2"/>
      <c r="H269" s="2"/>
      <c r="I269" s="2"/>
      <c r="J269" s="2"/>
      <c r="K269" s="2"/>
      <c r="L269" s="2"/>
      <c r="M269" s="2"/>
      <c r="N269" s="2"/>
      <c r="O269" s="2"/>
      <c r="P269" s="2"/>
      <c r="Q269" s="2"/>
      <c r="R269" s="2"/>
      <c r="S269" s="2"/>
      <c r="T269" s="2"/>
      <c r="U269" s="2"/>
      <c r="V269" s="2"/>
      <c r="W269" s="2"/>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v>267</v>
      </c>
      <c r="BE269" s="21">
        <v>133.5</v>
      </c>
      <c r="BF269" s="40" t="s">
        <v>0</v>
      </c>
    </row>
    <row r="270" spans="1:58" ht="39.950000000000003" hidden="1" customHeight="1" x14ac:dyDescent="0.25">
      <c r="BD270" s="17">
        <v>268</v>
      </c>
      <c r="BE270" s="21">
        <v>134</v>
      </c>
      <c r="BF270" s="40" t="s">
        <v>0</v>
      </c>
    </row>
    <row r="271" spans="1:58" ht="39.950000000000003" hidden="1" customHeight="1" x14ac:dyDescent="0.25">
      <c r="BD271" s="17">
        <v>269</v>
      </c>
      <c r="BE271" s="21">
        <v>134.5</v>
      </c>
      <c r="BF271" s="40" t="s">
        <v>0</v>
      </c>
    </row>
    <row r="272" spans="1:58" ht="39.950000000000003" hidden="1" customHeight="1" x14ac:dyDescent="0.25">
      <c r="BD272" s="17">
        <v>270</v>
      </c>
      <c r="BE272" s="21">
        <v>135</v>
      </c>
      <c r="BF272" s="40" t="s">
        <v>0</v>
      </c>
    </row>
    <row r="273" spans="56:58" ht="39.950000000000003" hidden="1" customHeight="1" x14ac:dyDescent="0.25">
      <c r="BD273" s="17">
        <v>271</v>
      </c>
      <c r="BE273" s="21">
        <v>135.5</v>
      </c>
      <c r="BF273" s="40" t="s">
        <v>0</v>
      </c>
    </row>
    <row r="274" spans="56:58" ht="39.950000000000003" hidden="1" customHeight="1" x14ac:dyDescent="0.25">
      <c r="BD274" s="17">
        <v>272</v>
      </c>
      <c r="BE274" s="21">
        <v>136</v>
      </c>
      <c r="BF274" s="40" t="s">
        <v>0</v>
      </c>
    </row>
    <row r="275" spans="56:58" ht="39.950000000000003" hidden="1" customHeight="1" x14ac:dyDescent="0.25">
      <c r="BD275" s="17">
        <v>273</v>
      </c>
      <c r="BE275" s="21">
        <v>136.5</v>
      </c>
      <c r="BF275" s="40" t="s">
        <v>0</v>
      </c>
    </row>
    <row r="276" spans="56:58" ht="39.950000000000003" hidden="1" customHeight="1" x14ac:dyDescent="0.25">
      <c r="BD276" s="17">
        <v>274</v>
      </c>
      <c r="BE276" s="21">
        <v>137</v>
      </c>
      <c r="BF276" s="40" t="s">
        <v>0</v>
      </c>
    </row>
    <row r="277" spans="56:58" ht="39.950000000000003" hidden="1" customHeight="1" x14ac:dyDescent="0.25">
      <c r="BD277" s="17">
        <v>275</v>
      </c>
      <c r="BE277" s="21">
        <v>137.5</v>
      </c>
      <c r="BF277" s="40" t="s">
        <v>0</v>
      </c>
    </row>
    <row r="278" spans="56:58" ht="39.950000000000003" hidden="1" customHeight="1" x14ac:dyDescent="0.25">
      <c r="BD278" s="17">
        <v>276</v>
      </c>
      <c r="BE278" s="21">
        <v>138</v>
      </c>
      <c r="BF278" s="40" t="s">
        <v>0</v>
      </c>
    </row>
    <row r="279" spans="56:58" ht="39.950000000000003" hidden="1" customHeight="1" x14ac:dyDescent="0.25">
      <c r="BD279" s="17">
        <v>277</v>
      </c>
      <c r="BE279" s="21">
        <v>138.5</v>
      </c>
      <c r="BF279" s="40" t="s">
        <v>0</v>
      </c>
    </row>
    <row r="280" spans="56:58" ht="39.950000000000003" hidden="1" customHeight="1" x14ac:dyDescent="0.25">
      <c r="BD280" s="17">
        <v>278</v>
      </c>
      <c r="BE280" s="21">
        <v>139</v>
      </c>
      <c r="BF280" s="40" t="s">
        <v>0</v>
      </c>
    </row>
    <row r="281" spans="56:58" ht="39.950000000000003" hidden="1" customHeight="1" x14ac:dyDescent="0.25">
      <c r="BD281" s="17">
        <v>279</v>
      </c>
      <c r="BE281" s="21">
        <v>139.5</v>
      </c>
      <c r="BF281" s="40" t="s">
        <v>0</v>
      </c>
    </row>
    <row r="282" spans="56:58" ht="39.950000000000003" hidden="1" customHeight="1" x14ac:dyDescent="0.25">
      <c r="BD282" s="17">
        <v>280</v>
      </c>
      <c r="BE282" s="21">
        <v>140</v>
      </c>
      <c r="BF282" s="40" t="s">
        <v>0</v>
      </c>
    </row>
    <row r="283" spans="56:58" ht="39.950000000000003" hidden="1" customHeight="1" x14ac:dyDescent="0.25">
      <c r="BD283" s="17">
        <v>281</v>
      </c>
      <c r="BE283" s="21">
        <v>140.5</v>
      </c>
      <c r="BF283" s="40" t="s">
        <v>0</v>
      </c>
    </row>
    <row r="284" spans="56:58" ht="39.950000000000003" hidden="1" customHeight="1" x14ac:dyDescent="0.25">
      <c r="BD284" s="17">
        <v>282</v>
      </c>
      <c r="BE284" s="21">
        <v>141</v>
      </c>
      <c r="BF284" s="40" t="s">
        <v>0</v>
      </c>
    </row>
    <row r="285" spans="56:58" ht="39.950000000000003" hidden="1" customHeight="1" x14ac:dyDescent="0.25">
      <c r="BD285" s="17">
        <v>283</v>
      </c>
      <c r="BE285" s="21">
        <v>141.5</v>
      </c>
      <c r="BF285" s="40" t="s">
        <v>0</v>
      </c>
    </row>
    <row r="286" spans="56:58" ht="39.950000000000003" hidden="1" customHeight="1" x14ac:dyDescent="0.25">
      <c r="BD286" s="17">
        <v>284</v>
      </c>
      <c r="BE286" s="21">
        <v>142</v>
      </c>
      <c r="BF286" s="40" t="s">
        <v>0</v>
      </c>
    </row>
    <row r="287" spans="56:58" ht="39.950000000000003" hidden="1" customHeight="1" x14ac:dyDescent="0.25">
      <c r="BD287" s="17">
        <v>285</v>
      </c>
      <c r="BE287" s="21">
        <v>142.5</v>
      </c>
      <c r="BF287" s="40" t="s">
        <v>0</v>
      </c>
    </row>
    <row r="288" spans="56:58" ht="39.950000000000003" hidden="1" customHeight="1" x14ac:dyDescent="0.25">
      <c r="BD288" s="17">
        <v>286</v>
      </c>
      <c r="BE288" s="21">
        <v>143</v>
      </c>
      <c r="BF288" s="40" t="s">
        <v>0</v>
      </c>
    </row>
    <row r="289" spans="56:58" ht="39.950000000000003" hidden="1" customHeight="1" x14ac:dyDescent="0.25">
      <c r="BD289" s="17">
        <v>287</v>
      </c>
      <c r="BE289" s="21">
        <v>143.5</v>
      </c>
      <c r="BF289" s="40" t="s">
        <v>0</v>
      </c>
    </row>
    <row r="290" spans="56:58" ht="39.950000000000003" hidden="1" customHeight="1" x14ac:dyDescent="0.25">
      <c r="BD290" s="17">
        <v>288</v>
      </c>
      <c r="BE290" s="21">
        <v>144</v>
      </c>
      <c r="BF290" s="40" t="s">
        <v>0</v>
      </c>
    </row>
    <row r="291" spans="56:58" ht="39.950000000000003" hidden="1" customHeight="1" x14ac:dyDescent="0.25">
      <c r="BD291" s="17">
        <v>289</v>
      </c>
      <c r="BE291" s="21">
        <v>144.5</v>
      </c>
      <c r="BF291" s="40" t="s">
        <v>0</v>
      </c>
    </row>
    <row r="292" spans="56:58" ht="39.950000000000003" hidden="1" customHeight="1" x14ac:dyDescent="0.25">
      <c r="BD292" s="17">
        <v>290</v>
      </c>
      <c r="BE292" s="21">
        <v>145</v>
      </c>
      <c r="BF292" s="40" t="s">
        <v>0</v>
      </c>
    </row>
    <row r="293" spans="56:58" ht="39.950000000000003" hidden="1" customHeight="1" x14ac:dyDescent="0.25">
      <c r="BD293" s="17">
        <v>291</v>
      </c>
      <c r="BE293" s="21">
        <v>145.5</v>
      </c>
      <c r="BF293" s="40" t="s">
        <v>0</v>
      </c>
    </row>
    <row r="294" spans="56:58" ht="39.950000000000003" hidden="1" customHeight="1" x14ac:dyDescent="0.25">
      <c r="BD294" s="17">
        <v>292</v>
      </c>
      <c r="BE294" s="21">
        <v>146</v>
      </c>
      <c r="BF294" s="40" t="s">
        <v>0</v>
      </c>
    </row>
    <row r="295" spans="56:58" ht="39.950000000000003" hidden="1" customHeight="1" x14ac:dyDescent="0.25">
      <c r="BD295" s="17">
        <v>293</v>
      </c>
      <c r="BE295" s="21">
        <v>146.5</v>
      </c>
      <c r="BF295" s="40" t="s">
        <v>0</v>
      </c>
    </row>
    <row r="296" spans="56:58" ht="39.950000000000003" hidden="1" customHeight="1" x14ac:dyDescent="0.25">
      <c r="BD296" s="17">
        <v>294</v>
      </c>
      <c r="BE296" s="21">
        <v>147</v>
      </c>
      <c r="BF296" s="40" t="s">
        <v>0</v>
      </c>
    </row>
    <row r="297" spans="56:58" ht="39.950000000000003" hidden="1" customHeight="1" x14ac:dyDescent="0.25">
      <c r="BD297" s="17">
        <v>295</v>
      </c>
      <c r="BE297" s="21">
        <v>147.5</v>
      </c>
      <c r="BF297" s="40" t="s">
        <v>0</v>
      </c>
    </row>
    <row r="298" spans="56:58" ht="39.950000000000003" hidden="1" customHeight="1" x14ac:dyDescent="0.25">
      <c r="BD298" s="17">
        <v>296</v>
      </c>
      <c r="BE298" s="21">
        <v>148</v>
      </c>
      <c r="BF298" s="40" t="s">
        <v>0</v>
      </c>
    </row>
    <row r="299" spans="56:58" ht="39.950000000000003" hidden="1" customHeight="1" x14ac:dyDescent="0.25">
      <c r="BD299" s="17">
        <v>297</v>
      </c>
      <c r="BE299" s="21">
        <v>148.5</v>
      </c>
      <c r="BF299" s="40" t="s">
        <v>0</v>
      </c>
    </row>
    <row r="300" spans="56:58" ht="39.950000000000003" hidden="1" customHeight="1" x14ac:dyDescent="0.25">
      <c r="BD300" s="17">
        <v>298</v>
      </c>
      <c r="BE300" s="21">
        <v>149</v>
      </c>
      <c r="BF300" s="40" t="s">
        <v>0</v>
      </c>
    </row>
    <row r="301" spans="56:58" ht="39.950000000000003" hidden="1" customHeight="1" x14ac:dyDescent="0.25">
      <c r="BD301" s="17">
        <v>299</v>
      </c>
      <c r="BE301" s="21">
        <v>149.5</v>
      </c>
      <c r="BF301" s="40" t="s">
        <v>0</v>
      </c>
    </row>
    <row r="302" spans="56:58" ht="39.950000000000003" hidden="1" customHeight="1" x14ac:dyDescent="0.25">
      <c r="BD302" s="17">
        <v>300</v>
      </c>
      <c r="BE302" s="21">
        <v>150</v>
      </c>
      <c r="BF302" s="40" t="s">
        <v>0</v>
      </c>
    </row>
    <row r="303" spans="56:58" ht="39.950000000000003" hidden="1" customHeight="1" x14ac:dyDescent="0.25">
      <c r="BD303" s="17">
        <v>301</v>
      </c>
      <c r="BE303" s="21">
        <v>150.5</v>
      </c>
      <c r="BF303" s="40" t="s">
        <v>0</v>
      </c>
    </row>
    <row r="304" spans="56:58" ht="39.950000000000003" hidden="1" customHeight="1" x14ac:dyDescent="0.25">
      <c r="BD304" s="17">
        <v>302</v>
      </c>
      <c r="BE304" s="21">
        <v>151</v>
      </c>
      <c r="BF304" s="40" t="s">
        <v>0</v>
      </c>
    </row>
    <row r="305" spans="56:58" ht="39.950000000000003" hidden="1" customHeight="1" x14ac:dyDescent="0.25">
      <c r="BD305" s="17">
        <v>303</v>
      </c>
      <c r="BE305" s="21">
        <v>151.5</v>
      </c>
      <c r="BF305" s="40" t="s">
        <v>0</v>
      </c>
    </row>
    <row r="306" spans="56:58" ht="39.950000000000003" hidden="1" customHeight="1" x14ac:dyDescent="0.25">
      <c r="BD306" s="17">
        <v>304</v>
      </c>
      <c r="BE306" s="21">
        <v>152</v>
      </c>
      <c r="BF306" s="40" t="s">
        <v>0</v>
      </c>
    </row>
    <row r="307" spans="56:58" ht="39.950000000000003" hidden="1" customHeight="1" x14ac:dyDescent="0.25">
      <c r="BD307" s="17">
        <v>305</v>
      </c>
      <c r="BE307" s="21">
        <v>152.5</v>
      </c>
      <c r="BF307" s="40" t="s">
        <v>0</v>
      </c>
    </row>
    <row r="308" spans="56:58" ht="39.950000000000003" hidden="1" customHeight="1" x14ac:dyDescent="0.25">
      <c r="BD308" s="17">
        <v>306</v>
      </c>
      <c r="BE308" s="21">
        <v>153</v>
      </c>
      <c r="BF308" s="40" t="s">
        <v>0</v>
      </c>
    </row>
    <row r="309" spans="56:58" ht="39.950000000000003" hidden="1" customHeight="1" x14ac:dyDescent="0.25">
      <c r="BD309" s="17">
        <v>307</v>
      </c>
      <c r="BE309" s="21">
        <v>153.5</v>
      </c>
      <c r="BF309" s="40" t="s">
        <v>0</v>
      </c>
    </row>
    <row r="310" spans="56:58" ht="39.950000000000003" hidden="1" customHeight="1" x14ac:dyDescent="0.25">
      <c r="BD310" s="17">
        <v>308</v>
      </c>
      <c r="BE310" s="21">
        <v>154</v>
      </c>
      <c r="BF310" s="40" t="s">
        <v>0</v>
      </c>
    </row>
    <row r="311" spans="56:58" ht="39.950000000000003" hidden="1" customHeight="1" x14ac:dyDescent="0.25">
      <c r="BD311" s="17">
        <v>309</v>
      </c>
      <c r="BE311" s="21">
        <v>154.5</v>
      </c>
      <c r="BF311" s="40" t="s">
        <v>0</v>
      </c>
    </row>
    <row r="312" spans="56:58" ht="39.950000000000003" hidden="1" customHeight="1" x14ac:dyDescent="0.25">
      <c r="BD312" s="17">
        <v>310</v>
      </c>
      <c r="BE312" s="21">
        <v>155</v>
      </c>
      <c r="BF312" s="40" t="s">
        <v>0</v>
      </c>
    </row>
    <row r="313" spans="56:58" ht="39.950000000000003" hidden="1" customHeight="1" x14ac:dyDescent="0.25">
      <c r="BD313" s="17">
        <v>311</v>
      </c>
      <c r="BE313" s="21">
        <v>155.5</v>
      </c>
      <c r="BF313" s="40" t="s">
        <v>0</v>
      </c>
    </row>
    <row r="314" spans="56:58" ht="39.950000000000003" hidden="1" customHeight="1" x14ac:dyDescent="0.25">
      <c r="BD314" s="17">
        <v>312</v>
      </c>
      <c r="BE314" s="21">
        <v>156</v>
      </c>
      <c r="BF314" s="40" t="s">
        <v>0</v>
      </c>
    </row>
    <row r="315" spans="56:58" ht="39.950000000000003" hidden="1" customHeight="1" x14ac:dyDescent="0.25">
      <c r="BD315" s="17">
        <v>313</v>
      </c>
      <c r="BE315" s="21">
        <v>156.5</v>
      </c>
      <c r="BF315" s="40" t="s">
        <v>0</v>
      </c>
    </row>
    <row r="316" spans="56:58" ht="39.950000000000003" hidden="1" customHeight="1" x14ac:dyDescent="0.25">
      <c r="BD316" s="17">
        <v>314</v>
      </c>
      <c r="BE316" s="21">
        <v>157</v>
      </c>
      <c r="BF316" s="40" t="s">
        <v>0</v>
      </c>
    </row>
    <row r="317" spans="56:58" ht="39.950000000000003" hidden="1" customHeight="1" x14ac:dyDescent="0.25">
      <c r="BD317" s="17">
        <v>315</v>
      </c>
      <c r="BE317" s="21">
        <v>157.5</v>
      </c>
      <c r="BF317" s="40" t="s">
        <v>0</v>
      </c>
    </row>
    <row r="318" spans="56:58" ht="39.950000000000003" hidden="1" customHeight="1" x14ac:dyDescent="0.25">
      <c r="BD318" s="17">
        <v>316</v>
      </c>
      <c r="BE318" s="21">
        <v>158</v>
      </c>
      <c r="BF318" s="40" t="s">
        <v>0</v>
      </c>
    </row>
    <row r="319" spans="56:58" ht="39.950000000000003" hidden="1" customHeight="1" x14ac:dyDescent="0.25">
      <c r="BD319" s="17">
        <v>317</v>
      </c>
      <c r="BE319" s="21">
        <v>158.5</v>
      </c>
      <c r="BF319" s="40" t="s">
        <v>0</v>
      </c>
    </row>
    <row r="320" spans="56:58" ht="39.950000000000003" hidden="1" customHeight="1" x14ac:dyDescent="0.25">
      <c r="BD320" s="17">
        <v>318</v>
      </c>
      <c r="BE320" s="21">
        <v>159</v>
      </c>
      <c r="BF320" s="40" t="s">
        <v>0</v>
      </c>
    </row>
    <row r="321" spans="56:58" ht="39.950000000000003" hidden="1" customHeight="1" x14ac:dyDescent="0.25">
      <c r="BD321" s="17">
        <v>319</v>
      </c>
      <c r="BE321" s="21">
        <v>159.5</v>
      </c>
      <c r="BF321" s="40" t="s">
        <v>0</v>
      </c>
    </row>
    <row r="322" spans="56:58" ht="39.950000000000003" hidden="1" customHeight="1" x14ac:dyDescent="0.25">
      <c r="BD322" s="17">
        <v>320</v>
      </c>
      <c r="BE322" s="21">
        <v>160</v>
      </c>
      <c r="BF322" s="40" t="s">
        <v>0</v>
      </c>
    </row>
    <row r="323" spans="56:58" ht="39.950000000000003" hidden="1" customHeight="1" x14ac:dyDescent="0.25">
      <c r="BD323" s="17">
        <v>321</v>
      </c>
      <c r="BE323" s="21">
        <v>160.5</v>
      </c>
      <c r="BF323" s="40" t="s">
        <v>0</v>
      </c>
    </row>
    <row r="324" spans="56:58" ht="39.950000000000003" hidden="1" customHeight="1" x14ac:dyDescent="0.25">
      <c r="BD324" s="17">
        <v>322</v>
      </c>
      <c r="BE324" s="21">
        <v>161</v>
      </c>
      <c r="BF324" s="40" t="s">
        <v>0</v>
      </c>
    </row>
    <row r="325" spans="56:58" ht="39.950000000000003" hidden="1" customHeight="1" x14ac:dyDescent="0.25">
      <c r="BD325" s="17">
        <v>323</v>
      </c>
      <c r="BE325" s="21">
        <v>161.5</v>
      </c>
      <c r="BF325" s="40" t="s">
        <v>0</v>
      </c>
    </row>
    <row r="326" spans="56:58" ht="39.950000000000003" hidden="1" customHeight="1" x14ac:dyDescent="0.25">
      <c r="BD326" s="17">
        <v>324</v>
      </c>
      <c r="BE326" s="21">
        <v>162</v>
      </c>
      <c r="BF326" s="40" t="s">
        <v>0</v>
      </c>
    </row>
    <row r="327" spans="56:58" ht="39.950000000000003" hidden="1" customHeight="1" x14ac:dyDescent="0.25">
      <c r="BD327" s="17">
        <v>325</v>
      </c>
      <c r="BE327" s="21">
        <v>162.5</v>
      </c>
      <c r="BF327" s="40" t="s">
        <v>0</v>
      </c>
    </row>
    <row r="328" spans="56:58" ht="39.950000000000003" hidden="1" customHeight="1" x14ac:dyDescent="0.25">
      <c r="BD328" s="17">
        <v>326</v>
      </c>
      <c r="BE328" s="21">
        <v>163</v>
      </c>
      <c r="BF328" s="40" t="s">
        <v>0</v>
      </c>
    </row>
    <row r="329" spans="56:58" ht="39.950000000000003" hidden="1" customHeight="1" x14ac:dyDescent="0.25">
      <c r="BD329" s="17">
        <v>327</v>
      </c>
      <c r="BE329" s="21">
        <v>163.5</v>
      </c>
      <c r="BF329" s="40" t="s">
        <v>0</v>
      </c>
    </row>
    <row r="330" spans="56:58" ht="39.950000000000003" hidden="1" customHeight="1" x14ac:dyDescent="0.25">
      <c r="BD330" s="17">
        <v>328</v>
      </c>
      <c r="BE330" s="21">
        <v>164</v>
      </c>
      <c r="BF330" s="40" t="s">
        <v>0</v>
      </c>
    </row>
    <row r="331" spans="56:58" ht="39.950000000000003" hidden="1" customHeight="1" x14ac:dyDescent="0.25">
      <c r="BD331" s="17">
        <v>329</v>
      </c>
      <c r="BE331" s="21">
        <v>164.5</v>
      </c>
      <c r="BF331" s="40" t="s">
        <v>0</v>
      </c>
    </row>
    <row r="332" spans="56:58" ht="39.950000000000003" hidden="1" customHeight="1" x14ac:dyDescent="0.25">
      <c r="BD332" s="17">
        <v>330</v>
      </c>
      <c r="BE332" s="21">
        <v>165</v>
      </c>
      <c r="BF332" s="40" t="s">
        <v>0</v>
      </c>
    </row>
    <row r="333" spans="56:58" ht="39.950000000000003" hidden="1" customHeight="1" x14ac:dyDescent="0.25">
      <c r="BD333" s="17">
        <v>331</v>
      </c>
      <c r="BE333" s="21">
        <v>165.5</v>
      </c>
      <c r="BF333" s="40" t="s">
        <v>0</v>
      </c>
    </row>
    <row r="334" spans="56:58" ht="39.950000000000003" hidden="1" customHeight="1" x14ac:dyDescent="0.25">
      <c r="BD334" s="17">
        <v>332</v>
      </c>
      <c r="BE334" s="21">
        <v>166</v>
      </c>
      <c r="BF334" s="40" t="s">
        <v>0</v>
      </c>
    </row>
    <row r="335" spans="56:58" ht="39.950000000000003" hidden="1" customHeight="1" x14ac:dyDescent="0.25">
      <c r="BD335" s="17">
        <v>333</v>
      </c>
      <c r="BE335" s="21">
        <v>166.5</v>
      </c>
      <c r="BF335" s="40" t="s">
        <v>0</v>
      </c>
    </row>
    <row r="336" spans="56:58" ht="39.950000000000003" hidden="1" customHeight="1" x14ac:dyDescent="0.25">
      <c r="BD336" s="17">
        <v>334</v>
      </c>
      <c r="BE336" s="21">
        <v>167</v>
      </c>
      <c r="BF336" s="40" t="s">
        <v>0</v>
      </c>
    </row>
    <row r="337" spans="56:58" ht="39.950000000000003" hidden="1" customHeight="1" x14ac:dyDescent="0.25">
      <c r="BD337" s="17">
        <v>335</v>
      </c>
      <c r="BE337" s="21">
        <v>167.5</v>
      </c>
      <c r="BF337" s="40" t="s">
        <v>0</v>
      </c>
    </row>
    <row r="338" spans="56:58" ht="39.950000000000003" hidden="1" customHeight="1" x14ac:dyDescent="0.25">
      <c r="BD338" s="17">
        <v>336</v>
      </c>
      <c r="BE338" s="21">
        <v>168</v>
      </c>
      <c r="BF338" s="40" t="s">
        <v>0</v>
      </c>
    </row>
    <row r="339" spans="56:58" ht="39.950000000000003" hidden="1" customHeight="1" x14ac:dyDescent="0.25">
      <c r="BD339" s="17">
        <v>337</v>
      </c>
      <c r="BE339" s="21">
        <v>168.5</v>
      </c>
      <c r="BF339" s="40" t="s">
        <v>0</v>
      </c>
    </row>
    <row r="340" spans="56:58" ht="39.950000000000003" hidden="1" customHeight="1" x14ac:dyDescent="0.25">
      <c r="BD340" s="17">
        <v>338</v>
      </c>
      <c r="BE340" s="21">
        <v>169</v>
      </c>
      <c r="BF340" s="40" t="s">
        <v>0</v>
      </c>
    </row>
    <row r="341" spans="56:58" ht="39.950000000000003" hidden="1" customHeight="1" x14ac:dyDescent="0.25">
      <c r="BD341" s="17">
        <v>339</v>
      </c>
      <c r="BE341" s="21">
        <v>169.5</v>
      </c>
      <c r="BF341" s="40" t="s">
        <v>0</v>
      </c>
    </row>
    <row r="342" spans="56:58" ht="39.950000000000003" hidden="1" customHeight="1" x14ac:dyDescent="0.25">
      <c r="BD342" s="17">
        <v>340</v>
      </c>
      <c r="BE342" s="21">
        <v>170</v>
      </c>
      <c r="BF342" s="40" t="s">
        <v>0</v>
      </c>
    </row>
    <row r="343" spans="56:58" ht="39.950000000000003" hidden="1" customHeight="1" x14ac:dyDescent="0.25">
      <c r="BD343" s="17">
        <v>341</v>
      </c>
      <c r="BE343" s="21">
        <v>170.5</v>
      </c>
      <c r="BF343" s="40" t="s">
        <v>0</v>
      </c>
    </row>
    <row r="344" spans="56:58" ht="39.950000000000003" hidden="1" customHeight="1" x14ac:dyDescent="0.25">
      <c r="BD344" s="17">
        <v>342</v>
      </c>
      <c r="BE344" s="21">
        <v>171</v>
      </c>
      <c r="BF344" s="40" t="s">
        <v>0</v>
      </c>
    </row>
    <row r="345" spans="56:58" ht="39.950000000000003" hidden="1" customHeight="1" x14ac:dyDescent="0.25">
      <c r="BD345" s="17">
        <v>343</v>
      </c>
      <c r="BE345" s="21">
        <v>171.5</v>
      </c>
      <c r="BF345" s="40" t="s">
        <v>0</v>
      </c>
    </row>
    <row r="346" spans="56:58" ht="39.950000000000003" hidden="1" customHeight="1" x14ac:dyDescent="0.25">
      <c r="BD346" s="17">
        <v>344</v>
      </c>
      <c r="BE346" s="21">
        <v>172</v>
      </c>
      <c r="BF346" s="40" t="s">
        <v>0</v>
      </c>
    </row>
    <row r="347" spans="56:58" ht="39.950000000000003" hidden="1" customHeight="1" x14ac:dyDescent="0.25">
      <c r="BD347" s="17">
        <v>345</v>
      </c>
      <c r="BE347" s="21">
        <v>172.5</v>
      </c>
      <c r="BF347" s="40" t="s">
        <v>0</v>
      </c>
    </row>
    <row r="348" spans="56:58" ht="39.950000000000003" hidden="1" customHeight="1" x14ac:dyDescent="0.25">
      <c r="BD348" s="17">
        <v>346</v>
      </c>
      <c r="BE348" s="21">
        <v>173</v>
      </c>
      <c r="BF348" s="40" t="s">
        <v>0</v>
      </c>
    </row>
    <row r="349" spans="56:58" ht="39.950000000000003" hidden="1" customHeight="1" x14ac:dyDescent="0.25">
      <c r="BD349" s="17">
        <v>347</v>
      </c>
      <c r="BE349" s="21">
        <v>173.5</v>
      </c>
      <c r="BF349" s="40" t="s">
        <v>0</v>
      </c>
    </row>
    <row r="350" spans="56:58" ht="39.950000000000003" hidden="1" customHeight="1" x14ac:dyDescent="0.25">
      <c r="BD350" s="17">
        <v>348</v>
      </c>
      <c r="BE350" s="21">
        <v>174</v>
      </c>
      <c r="BF350" s="40" t="s">
        <v>0</v>
      </c>
    </row>
    <row r="351" spans="56:58" ht="39.950000000000003" hidden="1" customHeight="1" x14ac:dyDescent="0.25">
      <c r="BD351" s="17">
        <v>349</v>
      </c>
      <c r="BE351" s="21">
        <v>174.5</v>
      </c>
      <c r="BF351" s="40" t="s">
        <v>0</v>
      </c>
    </row>
    <row r="352" spans="56:58" ht="39.950000000000003" hidden="1" customHeight="1" x14ac:dyDescent="0.25">
      <c r="BD352" s="17">
        <v>350</v>
      </c>
      <c r="BE352" s="21">
        <v>175</v>
      </c>
      <c r="BF352" s="40" t="s">
        <v>0</v>
      </c>
    </row>
    <row r="353" spans="56:58" ht="39.950000000000003" hidden="1" customHeight="1" x14ac:dyDescent="0.25">
      <c r="BD353" s="17">
        <v>351</v>
      </c>
      <c r="BE353" s="21">
        <v>175.5</v>
      </c>
      <c r="BF353" s="40" t="s">
        <v>0</v>
      </c>
    </row>
    <row r="354" spans="56:58" ht="39.950000000000003" hidden="1" customHeight="1" x14ac:dyDescent="0.25">
      <c r="BD354" s="17">
        <v>352</v>
      </c>
      <c r="BE354" s="21">
        <v>176</v>
      </c>
      <c r="BF354" s="40" t="s">
        <v>0</v>
      </c>
    </row>
    <row r="355" spans="56:58" ht="39.950000000000003" hidden="1" customHeight="1" x14ac:dyDescent="0.25">
      <c r="BD355" s="17">
        <v>353</v>
      </c>
      <c r="BE355" s="21">
        <v>176.5</v>
      </c>
      <c r="BF355" s="40" t="s">
        <v>0</v>
      </c>
    </row>
    <row r="356" spans="56:58" ht="39.950000000000003" hidden="1" customHeight="1" x14ac:dyDescent="0.25">
      <c r="BD356" s="17">
        <v>354</v>
      </c>
      <c r="BE356" s="21">
        <v>177</v>
      </c>
      <c r="BF356" s="40" t="s">
        <v>0</v>
      </c>
    </row>
    <row r="357" spans="56:58" ht="39.950000000000003" hidden="1" customHeight="1" x14ac:dyDescent="0.25">
      <c r="BD357" s="17">
        <v>355</v>
      </c>
      <c r="BE357" s="21">
        <v>177.5</v>
      </c>
      <c r="BF357" s="40" t="s">
        <v>0</v>
      </c>
    </row>
    <row r="358" spans="56:58" ht="39.950000000000003" hidden="1" customHeight="1" x14ac:dyDescent="0.25">
      <c r="BD358" s="17">
        <v>356</v>
      </c>
      <c r="BE358" s="21">
        <v>178</v>
      </c>
      <c r="BF358" s="40" t="s">
        <v>0</v>
      </c>
    </row>
    <row r="359" spans="56:58" ht="39.950000000000003" hidden="1" customHeight="1" x14ac:dyDescent="0.25">
      <c r="BD359" s="17">
        <v>357</v>
      </c>
      <c r="BE359" s="21">
        <v>178.5</v>
      </c>
      <c r="BF359" s="40" t="s">
        <v>0</v>
      </c>
    </row>
    <row r="360" spans="56:58" ht="39.950000000000003" hidden="1" customHeight="1" x14ac:dyDescent="0.25">
      <c r="BD360" s="17">
        <v>358</v>
      </c>
      <c r="BE360" s="21">
        <v>179</v>
      </c>
      <c r="BF360" s="40" t="s">
        <v>0</v>
      </c>
    </row>
    <row r="361" spans="56:58" ht="39.950000000000003" hidden="1" customHeight="1" x14ac:dyDescent="0.25">
      <c r="BD361" s="17">
        <v>359</v>
      </c>
      <c r="BE361" s="21">
        <v>179.5</v>
      </c>
      <c r="BF361" s="40" t="s">
        <v>0</v>
      </c>
    </row>
    <row r="362" spans="56:58" ht="39.950000000000003" hidden="1" customHeight="1" x14ac:dyDescent="0.25">
      <c r="BD362" s="17">
        <v>360</v>
      </c>
      <c r="BE362" s="21">
        <v>180</v>
      </c>
      <c r="BF362" s="40" t="s">
        <v>0</v>
      </c>
    </row>
    <row r="363" spans="56:58" ht="9.9499999999999993" hidden="1" customHeight="1" x14ac:dyDescent="0.25"/>
  </sheetData>
  <sheetProtection algorithmName="SHA-512" hashValue="Tv2podIOaW2aersufgrZ14i6aqiEX4JRm8wElXwzpQ6JLY9o5zcK5+73vc59LWEFMl0gFx5H29e9wueQpXqBBA==" saltValue="zCIBRUvzUfOQ6S6A1HTkDg==" spinCount="100000" sheet="1" objects="1" scenarios="1" selectLockedCells="1"/>
  <mergeCells count="25">
    <mergeCell ref="E1:E14"/>
    <mergeCell ref="F1:F14"/>
    <mergeCell ref="I1:I14"/>
    <mergeCell ref="W1:W28"/>
    <mergeCell ref="BG1:BG28"/>
    <mergeCell ref="L1:L14"/>
    <mergeCell ref="M1:M14"/>
    <mergeCell ref="G1:G14"/>
    <mergeCell ref="J1:J14"/>
    <mergeCell ref="A1:B14"/>
    <mergeCell ref="H1:H14"/>
    <mergeCell ref="V2:V27"/>
    <mergeCell ref="U2:U27"/>
    <mergeCell ref="T1:V1"/>
    <mergeCell ref="Q1:Q28"/>
    <mergeCell ref="T28:V28"/>
    <mergeCell ref="R1:R28"/>
    <mergeCell ref="P1:P14"/>
    <mergeCell ref="O1:O14"/>
    <mergeCell ref="T2:T27"/>
    <mergeCell ref="N1:N14"/>
    <mergeCell ref="S1:S28"/>
    <mergeCell ref="K1:K14"/>
    <mergeCell ref="C1:C14"/>
    <mergeCell ref="D1:D14"/>
  </mergeCells>
  <phoneticPr fontId="4" type="noConversion"/>
  <dataValidations count="9">
    <dataValidation type="list" allowBlank="1" showInputMessage="1" showErrorMessage="1" sqref="AK43:AK54" xr:uid="{FDF252F5-6527-43EE-9CB3-3FF6D7934A6F}">
      <formula1>"Yok, Var"</formula1>
    </dataValidation>
    <dataValidation type="list" allowBlank="1" showInputMessage="1" showErrorMessage="1" sqref="L15:L26" xr:uid="{D6DB34B5-9590-4803-9833-F0079B9818CB}">
      <formula1>$BF$2:$BF$50</formula1>
    </dataValidation>
    <dataValidation type="list" allowBlank="1" showInputMessage="1" showErrorMessage="1" sqref="Q1:Q28" xr:uid="{00000000-0002-0000-0000-000002000000}">
      <formula1>"Ocak, Şubat, Mart, Nisan, Mayıs, Haziran, Temmuz, Ağustos, Eylül, Ekim, Kasım, Aralık, Yıllık Toplam, Yıllık Ortalama"</formula1>
    </dataValidation>
    <dataValidation type="list" allowBlank="1" showInputMessage="1" showErrorMessage="1" sqref="AF18" xr:uid="{00000000-0002-0000-0000-000003000000}">
      <formula1>#REF!</formula1>
    </dataValidation>
    <dataValidation type="list" allowBlank="1" showInputMessage="1" showErrorMessage="1" sqref="AF29:AF40 H15:J26" xr:uid="{00000000-0002-0000-0000-000005000000}">
      <formula1>$BE$2:$BE$362</formula1>
    </dataValidation>
    <dataValidation type="list" allowBlank="1" showInputMessage="1" showErrorMessage="1" sqref="AP29:AP40 K15:K26 AS1:AS12 AL29:AL40 AL15:AL26" xr:uid="{00000000-0002-0000-0000-000006000000}">
      <formula1>$BD$2:$BD$362</formula1>
    </dataValidation>
    <dataValidation type="list" allowBlank="1" showInputMessage="1" showErrorMessage="1" sqref="M15:M26" xr:uid="{83188B9A-0099-4338-B076-EB4079CC5C42}">
      <formula1>"Yok,1. Derece,2. Derece,3. Derece"</formula1>
    </dataValidation>
    <dataValidation type="list" allowBlank="1" showInputMessage="1" showErrorMessage="1" sqref="AE43:AG54" xr:uid="{8D39B2D0-F4D0-45BF-964A-23D3EE799D8B}">
      <formula1>$AA$39:$AA$54</formula1>
    </dataValidation>
    <dataValidation type="list" allowBlank="1" showInputMessage="1" showErrorMessage="1" sqref="S1" xr:uid="{00000000-0002-0000-0000-000007000000}">
      <formula1>$X$21:$X$34</formula1>
    </dataValidation>
  </dataValidations>
  <printOptions horizontalCentered="1" verticalCentered="1"/>
  <pageMargins left="0" right="0" top="0" bottom="0" header="0" footer="0"/>
  <pageSetup paperSize="8"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17</TotalTim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Özet Tablo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dc:creator>
  <dc:description/>
  <cp:lastModifiedBy>½</cp:lastModifiedBy>
  <cp:lastPrinted>2021-01-27T16:23:43Z</cp:lastPrinted>
  <dcterms:created xsi:type="dcterms:W3CDTF">2015-06-05T18:19:34Z</dcterms:created>
  <dcterms:modified xsi:type="dcterms:W3CDTF">2026-10-21T05:44:57Z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